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BU\Administrasjon oppvekst og kunnskap\21 Barnehagemyndighet\§ 19 Kommunalt tilskudd\2025\"/>
    </mc:Choice>
  </mc:AlternateContent>
  <xr:revisionPtr revIDLastSave="0" documentId="13_ncr:1_{1DEA6ACA-58BB-4ECB-A7B2-3CDF2D79B883}" xr6:coauthVersionLast="47" xr6:coauthVersionMax="47" xr10:uidLastSave="{00000000-0000-0000-0000-000000000000}"/>
  <bookViews>
    <workbookView xWindow="-120" yWindow="-120" windowWidth="29040" windowHeight="17520" tabRatio="820" activeTab="1" xr2:uid="{00000000-000D-0000-FFFF-FFFF00000000}"/>
  </bookViews>
  <sheets>
    <sheet name="Udir" sheetId="21" r:id="rId1"/>
    <sheet name="Forside" sheetId="8" r:id="rId2"/>
    <sheet name="Input, kommunale barnehager" sheetId="3" r:id="rId3"/>
    <sheet name="Beregning, komm.tilskudd" sheetId="4" r:id="rId4"/>
    <sheet name="Pensjon" sheetId="34" r:id="rId5"/>
    <sheet name="Satser" sheetId="16" r:id="rId6"/>
  </sheets>
  <externalReferences>
    <externalReference r:id="rId7"/>
    <externalReference r:id="rId8"/>
    <externalReference r:id="rId9"/>
    <externalReference r:id="rId10"/>
  </externalReferences>
  <definedNames>
    <definedName name="__parameters_client_eq">#REF!</definedName>
    <definedName name="__Regnskap_hittil_i_år_amount">'Input, kommunale barnehager'!$K$3:$K$33493</definedName>
    <definedName name="__Regnskap_hittil_i_år_f0_avvik1">'[1]__Regnskap hittil i år'!#REF!</definedName>
    <definedName name="__Regnskap_hittil_i_år_f1_forbruk_i__9">'[1]__Regnskap hittil i år'!#REF!</definedName>
    <definedName name="__Økonomiplan_2018_21_transaksj_f0_2013">#REF!</definedName>
    <definedName name="__Økonomiplan_2018_21_transaksj_f1_2014">#REF!</definedName>
    <definedName name="__Økonomiplan_2018_21_transaksj_f2_2015">#REF!</definedName>
    <definedName name="__Økonomiplan_2018_21_transaksj_f3_2016">#REF!</definedName>
    <definedName name="__Økonomiplan_2019_22_transaksj_f0_2013">#REF!</definedName>
    <definedName name="__Økonomiplan_2019_22_transaksj_f1_2014">#REF!</definedName>
    <definedName name="__Økonomiplan_2019_22_transaksj_f2_2015">#REF!</definedName>
    <definedName name="__Økonomiplan_2019_22_transaksj_f3_2016">#REF!</definedName>
    <definedName name="__Økonomiplan_2020_23_transaksj.f0_2013">#REF!</definedName>
    <definedName name="__Økonomiplan_2020_23_transaksj.f1_2014">#REF!</definedName>
    <definedName name="__Økonomiplan_2020_23_transaksj.f2_2015">#REF!</definedName>
    <definedName name="__Økonomiplan_2020_23_transaksj.f3_2016">#REF!</definedName>
    <definedName name="_AGA1">[2]FORUTSETNINGER!$C$30</definedName>
    <definedName name="_AGA2">[2]FORUTSETNINGER!$D$30</definedName>
    <definedName name="_AGA3">[2]FORUTSETNINGER!$E$30</definedName>
    <definedName name="_AGA4">[2]FORUTSETNINGER!$F$30</definedName>
    <definedName name="_xlnm._FilterDatabase" localSheetId="4" hidden="1">Pensjon!$A$7:$U$1123</definedName>
    <definedName name="AGA0">[2]FORUTSETNINGER!$B$30</definedName>
    <definedName name="dd">#REF!</definedName>
    <definedName name="elever_pr_skole">'[3]MR Ant elever'!$C$18:$AF$21</definedName>
    <definedName name="Forvlonn0">[2]FORUTSETNINGER!$B$31</definedName>
    <definedName name="Forvlonn1">[2]FORUTSETNINGER!$C$31</definedName>
    <definedName name="Forvlonn2">[2]FORUTSETNINGER!$D$31</definedName>
    <definedName name="Forvlonn3">[2]FORUTSETNINGER!$E$31</definedName>
    <definedName name="Forvlonn4">[2]FORUTSETNINGER!$F$31</definedName>
    <definedName name="gjennomsnittslønn">[3]Tildelingsfaktorer!$C$4</definedName>
    <definedName name="Lønn_pr_skole" localSheetId="4">'[4]MR gjlønn'!#REF!</definedName>
    <definedName name="Lønn_pr_skole">'[4]MR gjlønn'!#REF!</definedName>
    <definedName name="mainContentBookmark" localSheetId="5">Satser!#REF!</definedName>
    <definedName name="Manuell_tild_element">'[3]Manuell tildeling'!$C$4:$M$4</definedName>
    <definedName name="manuell_tildel_skole">'[3]Manuell tildeling'!$C$4:$C$40</definedName>
    <definedName name="Psats0">[2]FORUTSETNINGER!$B$29</definedName>
    <definedName name="Psats1">[2]FORUTSETNINGER!$C$29</definedName>
    <definedName name="Psats2">[2]FORUTSETNINGER!$D$29</definedName>
    <definedName name="Psats3">[2]FORUTSETNINGER!$E$29</definedName>
    <definedName name="Psats4">[2]FORUTSETNINGER!$F$29</definedName>
    <definedName name="seniortillegg">'[3]MR senioransatte'!$A$5:$AD$11</definedName>
    <definedName name="skjæringspkt_SFO">[3]Tildelingsfaktorer!$C$27</definedName>
    <definedName name="tildeling_øvrig">[3]Tildelingsfaktorer!$B$30:$AE$39</definedName>
    <definedName name="tildeling_øvrig_element">[3]Tildelingsfaktorer!$B$30:$B$39</definedName>
    <definedName name="tildeling_øvrig_skole">[3]Tildelingsfaktorer!$B$30:$AE$30</definedName>
    <definedName name="timer_pr_uke_barn">[3]Tildelingsfaktorer!$G$4</definedName>
    <definedName name="timer_pr_uke_ungdom">[3]Tildelingsfaktorer!$G$6</definedName>
    <definedName name="_xlnm.Print_Area" localSheetId="3">'Beregning, komm.tilskudd'!$A:$D</definedName>
    <definedName name="_xlnm.Print_Area" localSheetId="2">'Input, kommunale barnehager'!$A$1:$L$50</definedName>
    <definedName name="Valgt_skole_simulering">"Drop Down 2"</definedName>
    <definedName name="xx">#REF!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" i="34" l="1"/>
  <c r="F47" i="3"/>
  <c r="D50" i="3" l="1"/>
  <c r="E36" i="3"/>
  <c r="M13" i="3" l="1"/>
  <c r="Q967" i="34" l="1"/>
  <c r="S18" i="34" l="1"/>
  <c r="R21" i="34"/>
  <c r="G80" i="4"/>
  <c r="E42" i="3"/>
  <c r="E41" i="3"/>
  <c r="E38" i="3"/>
  <c r="Q2" i="34"/>
  <c r="Q3" i="34" s="1"/>
  <c r="S8" i="34"/>
  <c r="R1006" i="34"/>
  <c r="R1005" i="34"/>
  <c r="R1004" i="34"/>
  <c r="R1003" i="34"/>
  <c r="R1002" i="34"/>
  <c r="R1001" i="34"/>
  <c r="R1000" i="34"/>
  <c r="R999" i="34"/>
  <c r="R998" i="34"/>
  <c r="R997" i="34"/>
  <c r="R996" i="34"/>
  <c r="R995" i="34"/>
  <c r="R994" i="34"/>
  <c r="R993" i="34"/>
  <c r="R992" i="34"/>
  <c r="R991" i="34"/>
  <c r="R990" i="34"/>
  <c r="R989" i="34"/>
  <c r="R988" i="34"/>
  <c r="R987" i="34"/>
  <c r="R986" i="34"/>
  <c r="R985" i="34"/>
  <c r="R984" i="34"/>
  <c r="R983" i="34"/>
  <c r="R982" i="34"/>
  <c r="R981" i="34"/>
  <c r="R980" i="34"/>
  <c r="R769" i="34"/>
  <c r="R764" i="34"/>
  <c r="R759" i="34"/>
  <c r="R751" i="34"/>
  <c r="R742" i="34"/>
  <c r="R729" i="34"/>
  <c r="R726" i="34"/>
  <c r="R715" i="34"/>
  <c r="R707" i="34"/>
  <c r="R693" i="34"/>
  <c r="R692" i="34"/>
  <c r="R691" i="34"/>
  <c r="R690" i="34"/>
  <c r="R659" i="34"/>
  <c r="R658" i="34"/>
  <c r="R657" i="34"/>
  <c r="R656" i="34"/>
  <c r="R635" i="34"/>
  <c r="R634" i="34"/>
  <c r="R633" i="34"/>
  <c r="R632" i="34"/>
  <c r="R601" i="34"/>
  <c r="R600" i="34"/>
  <c r="R599" i="34"/>
  <c r="R598" i="34"/>
  <c r="R597" i="34"/>
  <c r="R568" i="34"/>
  <c r="R567" i="34"/>
  <c r="R545" i="34"/>
  <c r="R544" i="34"/>
  <c r="R543" i="34"/>
  <c r="R514" i="34"/>
  <c r="R513" i="34"/>
  <c r="R512" i="34"/>
  <c r="R486" i="34"/>
  <c r="R485" i="34"/>
  <c r="R462" i="34"/>
  <c r="R461" i="34"/>
  <c r="R460" i="34"/>
  <c r="R459" i="34"/>
  <c r="R429" i="34"/>
  <c r="R428" i="34"/>
  <c r="R427" i="34"/>
  <c r="R426" i="34"/>
  <c r="R396" i="34"/>
  <c r="R395" i="34"/>
  <c r="R394" i="34"/>
  <c r="R370" i="34"/>
  <c r="R369" i="34"/>
  <c r="R343" i="34"/>
  <c r="R342" i="34"/>
  <c r="R341" i="34"/>
  <c r="R340" i="34"/>
  <c r="R339" i="34"/>
  <c r="R306" i="34"/>
  <c r="R305" i="34"/>
  <c r="R304" i="34"/>
  <c r="R275" i="34"/>
  <c r="R274" i="34"/>
  <c r="R273" i="34"/>
  <c r="R272" i="34"/>
  <c r="R271" i="34"/>
  <c r="R270" i="34"/>
  <c r="R244" i="34"/>
  <c r="R243" i="34"/>
  <c r="R242" i="34"/>
  <c r="R216" i="34"/>
  <c r="R215" i="34"/>
  <c r="R214" i="34"/>
  <c r="R213" i="34"/>
  <c r="R181" i="34"/>
  <c r="R180" i="34"/>
  <c r="R179" i="34"/>
  <c r="R178" i="34"/>
  <c r="R177" i="34"/>
  <c r="R149" i="34"/>
  <c r="R148" i="34"/>
  <c r="R123" i="34"/>
  <c r="R122" i="34"/>
  <c r="R121" i="34"/>
  <c r="R94" i="34"/>
  <c r="R93" i="34"/>
  <c r="R92" i="34"/>
  <c r="R91" i="34"/>
  <c r="R90" i="34"/>
  <c r="R67" i="34"/>
  <c r="R66" i="34"/>
  <c r="R65" i="34"/>
  <c r="R38" i="34"/>
  <c r="R37" i="34"/>
  <c r="R36" i="34"/>
  <c r="R23" i="34"/>
  <c r="S9" i="34"/>
  <c r="S12" i="34"/>
  <c r="S13" i="34"/>
  <c r="S16" i="34"/>
  <c r="S25" i="34"/>
  <c r="S28" i="34"/>
  <c r="S30" i="34"/>
  <c r="S31" i="34"/>
  <c r="S32" i="34"/>
  <c r="S33" i="34"/>
  <c r="S34" i="34"/>
  <c r="S35" i="34"/>
  <c r="S43" i="34"/>
  <c r="S44" i="34"/>
  <c r="S45" i="34"/>
  <c r="S46" i="34"/>
  <c r="S47" i="34"/>
  <c r="S48" i="34"/>
  <c r="S49" i="34"/>
  <c r="S50" i="34"/>
  <c r="S51" i="34"/>
  <c r="S52" i="34"/>
  <c r="S53" i="34"/>
  <c r="S54" i="34"/>
  <c r="S55" i="34"/>
  <c r="S56" i="34"/>
  <c r="S57" i="34"/>
  <c r="S58" i="34"/>
  <c r="S59" i="34"/>
  <c r="S60" i="34"/>
  <c r="S61" i="34"/>
  <c r="S62" i="34"/>
  <c r="S63" i="34"/>
  <c r="S64" i="34"/>
  <c r="S71" i="34"/>
  <c r="S72" i="34"/>
  <c r="S73" i="34"/>
  <c r="S74" i="34"/>
  <c r="S75" i="34"/>
  <c r="S76" i="34"/>
  <c r="S77" i="34"/>
  <c r="S78" i="34"/>
  <c r="S79" i="34"/>
  <c r="S80" i="34"/>
  <c r="S81" i="34"/>
  <c r="S82" i="34"/>
  <c r="S83" i="34"/>
  <c r="S84" i="34"/>
  <c r="S85" i="34"/>
  <c r="S86" i="34"/>
  <c r="S87" i="34"/>
  <c r="S88" i="34"/>
  <c r="S89" i="34"/>
  <c r="S100" i="34"/>
  <c r="S101" i="34"/>
  <c r="S102" i="34"/>
  <c r="S103" i="34"/>
  <c r="S104" i="34"/>
  <c r="S105" i="34"/>
  <c r="S106" i="34"/>
  <c r="S107" i="34"/>
  <c r="S108" i="34"/>
  <c r="S109" i="34"/>
  <c r="S110" i="34"/>
  <c r="S111" i="34"/>
  <c r="S112" i="34"/>
  <c r="S113" i="34"/>
  <c r="S114" i="34"/>
  <c r="S115" i="34"/>
  <c r="S116" i="34"/>
  <c r="S117" i="34"/>
  <c r="S118" i="34"/>
  <c r="S119" i="34"/>
  <c r="S120" i="34"/>
  <c r="S130" i="34"/>
  <c r="S131" i="34"/>
  <c r="S132" i="34"/>
  <c r="S133" i="34"/>
  <c r="S134" i="34"/>
  <c r="S135" i="34"/>
  <c r="S136" i="34"/>
  <c r="S137" i="34"/>
  <c r="S138" i="34"/>
  <c r="S139" i="34"/>
  <c r="S140" i="34"/>
  <c r="S141" i="34"/>
  <c r="S142" i="34"/>
  <c r="S143" i="34"/>
  <c r="S144" i="34"/>
  <c r="S145" i="34"/>
  <c r="S146" i="34"/>
  <c r="S147" i="34"/>
  <c r="S153" i="34"/>
  <c r="S154" i="34"/>
  <c r="S155" i="34"/>
  <c r="S156" i="34"/>
  <c r="S157" i="34"/>
  <c r="S158" i="34"/>
  <c r="S159" i="34"/>
  <c r="S160" i="34"/>
  <c r="S161" i="34"/>
  <c r="S162" i="34"/>
  <c r="S163" i="34"/>
  <c r="S164" i="34"/>
  <c r="S165" i="34"/>
  <c r="S166" i="34"/>
  <c r="S167" i="34"/>
  <c r="S168" i="34"/>
  <c r="S169" i="34"/>
  <c r="S170" i="34"/>
  <c r="S171" i="34"/>
  <c r="S172" i="34"/>
  <c r="S173" i="34"/>
  <c r="S174" i="34"/>
  <c r="S175" i="34"/>
  <c r="S176" i="34"/>
  <c r="S188" i="34"/>
  <c r="S189" i="34"/>
  <c r="S190" i="34"/>
  <c r="S191" i="34"/>
  <c r="S192" i="34"/>
  <c r="S193" i="34"/>
  <c r="S194" i="34"/>
  <c r="S195" i="34"/>
  <c r="S196" i="34"/>
  <c r="S197" i="34"/>
  <c r="S198" i="34"/>
  <c r="S199" i="34"/>
  <c r="S200" i="34"/>
  <c r="S201" i="34"/>
  <c r="S202" i="34"/>
  <c r="S203" i="34"/>
  <c r="S204" i="34"/>
  <c r="S205" i="34"/>
  <c r="S206" i="34"/>
  <c r="S207" i="34"/>
  <c r="S208" i="34"/>
  <c r="S209" i="34"/>
  <c r="S210" i="34"/>
  <c r="S211" i="34"/>
  <c r="S212" i="34"/>
  <c r="S222" i="34"/>
  <c r="S223" i="34"/>
  <c r="S224" i="34"/>
  <c r="S225" i="34"/>
  <c r="S226" i="34"/>
  <c r="S227" i="34"/>
  <c r="S228" i="34"/>
  <c r="S229" i="34"/>
  <c r="S230" i="34"/>
  <c r="S231" i="34"/>
  <c r="S232" i="34"/>
  <c r="S233" i="34"/>
  <c r="S234" i="34"/>
  <c r="S235" i="34"/>
  <c r="S236" i="34"/>
  <c r="S237" i="34"/>
  <c r="S238" i="34"/>
  <c r="S239" i="34"/>
  <c r="S240" i="34"/>
  <c r="S241" i="34"/>
  <c r="S249" i="34"/>
  <c r="S250" i="34"/>
  <c r="S251" i="34"/>
  <c r="S252" i="34"/>
  <c r="S253" i="34"/>
  <c r="S254" i="34"/>
  <c r="S255" i="34"/>
  <c r="S256" i="34"/>
  <c r="S257" i="34"/>
  <c r="S258" i="34"/>
  <c r="S259" i="34"/>
  <c r="S260" i="34"/>
  <c r="S261" i="34"/>
  <c r="S262" i="34"/>
  <c r="S263" i="34"/>
  <c r="S264" i="34"/>
  <c r="S265" i="34"/>
  <c r="S266" i="34"/>
  <c r="S267" i="34"/>
  <c r="S268" i="34"/>
  <c r="S269" i="34"/>
  <c r="S283" i="34"/>
  <c r="S284" i="34"/>
  <c r="S285" i="34"/>
  <c r="S286" i="34"/>
  <c r="S287" i="34"/>
  <c r="S288" i="34"/>
  <c r="S289" i="34"/>
  <c r="S290" i="34"/>
  <c r="S291" i="34"/>
  <c r="S292" i="34"/>
  <c r="S293" i="34"/>
  <c r="S294" i="34"/>
  <c r="S295" i="34"/>
  <c r="S296" i="34"/>
  <c r="S297" i="34"/>
  <c r="S298" i="34"/>
  <c r="S299" i="34"/>
  <c r="S300" i="34"/>
  <c r="S301" i="34"/>
  <c r="S302" i="34"/>
  <c r="S303" i="34"/>
  <c r="S314" i="34"/>
  <c r="S315" i="34"/>
  <c r="S316" i="34"/>
  <c r="S317" i="34"/>
  <c r="S318" i="34"/>
  <c r="S319" i="34"/>
  <c r="S320" i="34"/>
  <c r="S321" i="34"/>
  <c r="S322" i="34"/>
  <c r="S323" i="34"/>
  <c r="S324" i="34"/>
  <c r="S325" i="34"/>
  <c r="S326" i="34"/>
  <c r="S327" i="34"/>
  <c r="S328" i="34"/>
  <c r="S329" i="34"/>
  <c r="S330" i="34"/>
  <c r="S331" i="34"/>
  <c r="S332" i="34"/>
  <c r="S333" i="34"/>
  <c r="S334" i="34"/>
  <c r="S335" i="34"/>
  <c r="S336" i="34"/>
  <c r="S337" i="34"/>
  <c r="S338" i="34"/>
  <c r="S351" i="34"/>
  <c r="S352" i="34"/>
  <c r="S353" i="34"/>
  <c r="S354" i="34"/>
  <c r="S355" i="34"/>
  <c r="S356" i="34"/>
  <c r="S357" i="34"/>
  <c r="S358" i="34"/>
  <c r="S359" i="34"/>
  <c r="S360" i="34"/>
  <c r="S361" i="34"/>
  <c r="S362" i="34"/>
  <c r="S363" i="34"/>
  <c r="S364" i="34"/>
  <c r="S365" i="34"/>
  <c r="S366" i="34"/>
  <c r="S367" i="34"/>
  <c r="S368" i="34"/>
  <c r="S374" i="34"/>
  <c r="S375" i="34"/>
  <c r="S376" i="34"/>
  <c r="S377" i="34"/>
  <c r="S378" i="34"/>
  <c r="S379" i="34"/>
  <c r="S380" i="34"/>
  <c r="S381" i="34"/>
  <c r="S382" i="34"/>
  <c r="S383" i="34"/>
  <c r="S384" i="34"/>
  <c r="S385" i="34"/>
  <c r="S386" i="34"/>
  <c r="S387" i="34"/>
  <c r="S388" i="34"/>
  <c r="S389" i="34"/>
  <c r="S390" i="34"/>
  <c r="S391" i="34"/>
  <c r="S392" i="34"/>
  <c r="S393" i="34"/>
  <c r="S401" i="34"/>
  <c r="S402" i="34"/>
  <c r="S403" i="34"/>
  <c r="S404" i="34"/>
  <c r="S405" i="34"/>
  <c r="S406" i="34"/>
  <c r="S407" i="34"/>
  <c r="S408" i="34"/>
  <c r="S409" i="34"/>
  <c r="S410" i="34"/>
  <c r="S411" i="34"/>
  <c r="S412" i="34"/>
  <c r="S413" i="34"/>
  <c r="S414" i="34"/>
  <c r="S415" i="34"/>
  <c r="S416" i="34"/>
  <c r="S417" i="34"/>
  <c r="S418" i="34"/>
  <c r="S419" i="34"/>
  <c r="S420" i="34"/>
  <c r="S421" i="34"/>
  <c r="S422" i="34"/>
  <c r="S423" i="34"/>
  <c r="S424" i="34"/>
  <c r="S425" i="34"/>
  <c r="S435" i="34"/>
  <c r="S436" i="34"/>
  <c r="S437" i="34"/>
  <c r="S438" i="34"/>
  <c r="S439" i="34"/>
  <c r="S440" i="34"/>
  <c r="S441" i="34"/>
  <c r="S442" i="34"/>
  <c r="S443" i="34"/>
  <c r="S444" i="34"/>
  <c r="S445" i="34"/>
  <c r="S446" i="34"/>
  <c r="S447" i="34"/>
  <c r="S448" i="34"/>
  <c r="S449" i="34"/>
  <c r="S450" i="34"/>
  <c r="S451" i="34"/>
  <c r="S452" i="34"/>
  <c r="S453" i="34"/>
  <c r="S454" i="34"/>
  <c r="S455" i="34"/>
  <c r="S456" i="34"/>
  <c r="S457" i="34"/>
  <c r="S458" i="34"/>
  <c r="S468" i="34"/>
  <c r="S469" i="34"/>
  <c r="S470" i="34"/>
  <c r="S471" i="34"/>
  <c r="S472" i="34"/>
  <c r="S473" i="34"/>
  <c r="S474" i="34"/>
  <c r="S475" i="34"/>
  <c r="S476" i="34"/>
  <c r="S477" i="34"/>
  <c r="S478" i="34"/>
  <c r="S479" i="34"/>
  <c r="S480" i="34"/>
  <c r="S481" i="34"/>
  <c r="S482" i="34"/>
  <c r="S483" i="34"/>
  <c r="S484" i="34"/>
  <c r="S490" i="34"/>
  <c r="S491" i="34"/>
  <c r="S492" i="34"/>
  <c r="S493" i="34"/>
  <c r="S494" i="34"/>
  <c r="S495" i="34"/>
  <c r="S496" i="34"/>
  <c r="S497" i="34"/>
  <c r="S498" i="34"/>
  <c r="S499" i="34"/>
  <c r="S500" i="34"/>
  <c r="S501" i="34"/>
  <c r="S502" i="34"/>
  <c r="S503" i="34"/>
  <c r="S504" i="34"/>
  <c r="S505" i="34"/>
  <c r="S506" i="34"/>
  <c r="S507" i="34"/>
  <c r="S508" i="34"/>
  <c r="S509" i="34"/>
  <c r="S510" i="34"/>
  <c r="S511" i="34"/>
  <c r="S520" i="34"/>
  <c r="S521" i="34"/>
  <c r="S522" i="34"/>
  <c r="S523" i="34"/>
  <c r="S524" i="34"/>
  <c r="S525" i="34"/>
  <c r="S526" i="34"/>
  <c r="S527" i="34"/>
  <c r="S528" i="34"/>
  <c r="S529" i="34"/>
  <c r="S530" i="34"/>
  <c r="S531" i="34"/>
  <c r="S532" i="34"/>
  <c r="S533" i="34"/>
  <c r="S534" i="34"/>
  <c r="S535" i="34"/>
  <c r="S536" i="34"/>
  <c r="S537" i="34"/>
  <c r="S538" i="34"/>
  <c r="S539" i="34"/>
  <c r="S540" i="34"/>
  <c r="S541" i="34"/>
  <c r="S542" i="34"/>
  <c r="S550" i="34"/>
  <c r="S551" i="34"/>
  <c r="S552" i="34"/>
  <c r="S553" i="34"/>
  <c r="S554" i="34"/>
  <c r="S555" i="34"/>
  <c r="S556" i="34"/>
  <c r="S557" i="34"/>
  <c r="S558" i="34"/>
  <c r="S559" i="34"/>
  <c r="S560" i="34"/>
  <c r="S561" i="34"/>
  <c r="S562" i="34"/>
  <c r="S563" i="34"/>
  <c r="S564" i="34"/>
  <c r="S565" i="34"/>
  <c r="S566" i="34"/>
  <c r="S572" i="34"/>
  <c r="S573" i="34"/>
  <c r="S574" i="34"/>
  <c r="S575" i="34"/>
  <c r="S576" i="34"/>
  <c r="S577" i="34"/>
  <c r="S578" i="34"/>
  <c r="S579" i="34"/>
  <c r="S580" i="34"/>
  <c r="S581" i="34"/>
  <c r="S582" i="34"/>
  <c r="S583" i="34"/>
  <c r="S584" i="34"/>
  <c r="S585" i="34"/>
  <c r="S586" i="34"/>
  <c r="S587" i="34"/>
  <c r="S588" i="34"/>
  <c r="S589" i="34"/>
  <c r="S590" i="34"/>
  <c r="S591" i="34"/>
  <c r="S592" i="34"/>
  <c r="S593" i="34"/>
  <c r="S594" i="34"/>
  <c r="S595" i="34"/>
  <c r="S596" i="34"/>
  <c r="S610" i="34"/>
  <c r="S611" i="34"/>
  <c r="S612" i="34"/>
  <c r="S613" i="34"/>
  <c r="S614" i="34"/>
  <c r="S615" i="34"/>
  <c r="S616" i="34"/>
  <c r="S617" i="34"/>
  <c r="S618" i="34"/>
  <c r="S619" i="34"/>
  <c r="S620" i="34"/>
  <c r="S621" i="34"/>
  <c r="S622" i="34"/>
  <c r="S623" i="34"/>
  <c r="S624" i="34"/>
  <c r="S625" i="34"/>
  <c r="S626" i="34"/>
  <c r="S627" i="34"/>
  <c r="S628" i="34"/>
  <c r="S629" i="34"/>
  <c r="S630" i="34"/>
  <c r="S631" i="34"/>
  <c r="S641" i="34"/>
  <c r="S642" i="34"/>
  <c r="S643" i="34"/>
  <c r="S644" i="34"/>
  <c r="S645" i="34"/>
  <c r="S646" i="34"/>
  <c r="S647" i="34"/>
  <c r="S648" i="34"/>
  <c r="S649" i="34"/>
  <c r="S650" i="34"/>
  <c r="S651" i="34"/>
  <c r="S652" i="34"/>
  <c r="S653" i="34"/>
  <c r="S654" i="34"/>
  <c r="S655" i="34"/>
  <c r="S665" i="34"/>
  <c r="S666" i="34"/>
  <c r="S667" i="34"/>
  <c r="S668" i="34"/>
  <c r="S669" i="34"/>
  <c r="S670" i="34"/>
  <c r="S671" i="34"/>
  <c r="S672" i="34"/>
  <c r="S673" i="34"/>
  <c r="S674" i="34"/>
  <c r="S675" i="34"/>
  <c r="S676" i="34"/>
  <c r="S677" i="34"/>
  <c r="S678" i="34"/>
  <c r="S679" i="34"/>
  <c r="S680" i="34"/>
  <c r="S681" i="34"/>
  <c r="S682" i="34"/>
  <c r="S683" i="34"/>
  <c r="S684" i="34"/>
  <c r="S685" i="34"/>
  <c r="S686" i="34"/>
  <c r="S687" i="34"/>
  <c r="S688" i="34"/>
  <c r="S689" i="34"/>
  <c r="S699" i="34"/>
  <c r="S700" i="34"/>
  <c r="S701" i="34"/>
  <c r="S702" i="34"/>
  <c r="S703" i="34"/>
  <c r="S704" i="34"/>
  <c r="S705" i="34"/>
  <c r="S706" i="34"/>
  <c r="S710" i="34"/>
  <c r="S711" i="34"/>
  <c r="S712" i="34"/>
  <c r="S713" i="34"/>
  <c r="S714" i="34"/>
  <c r="S717" i="34"/>
  <c r="S718" i="34"/>
  <c r="S719" i="34"/>
  <c r="S720" i="34"/>
  <c r="S721" i="34"/>
  <c r="S722" i="34"/>
  <c r="S723" i="34"/>
  <c r="S724" i="34"/>
  <c r="S725" i="34"/>
  <c r="S728" i="34"/>
  <c r="S731" i="34"/>
  <c r="S732" i="34"/>
  <c r="S733" i="34"/>
  <c r="S734" i="34"/>
  <c r="S735" i="34"/>
  <c r="S736" i="34"/>
  <c r="S737" i="34"/>
  <c r="S738" i="34"/>
  <c r="S739" i="34"/>
  <c r="S740" i="34"/>
  <c r="S741" i="34"/>
  <c r="S748" i="34"/>
  <c r="S749" i="34"/>
  <c r="S750" i="34"/>
  <c r="S753" i="34"/>
  <c r="S754" i="34"/>
  <c r="S755" i="34"/>
  <c r="S756" i="34"/>
  <c r="S757" i="34"/>
  <c r="S758" i="34"/>
  <c r="S761" i="34"/>
  <c r="S762" i="34"/>
  <c r="S763" i="34"/>
  <c r="S766" i="34"/>
  <c r="S767" i="34"/>
  <c r="S768" i="34"/>
  <c r="S776" i="34"/>
  <c r="S777" i="34"/>
  <c r="S778" i="34"/>
  <c r="S779" i="34"/>
  <c r="S780" i="34"/>
  <c r="S781" i="34"/>
  <c r="S782" i="34"/>
  <c r="S783" i="34"/>
  <c r="S784" i="34"/>
  <c r="S785" i="34"/>
  <c r="S786" i="34"/>
  <c r="S787" i="34"/>
  <c r="S788" i="34"/>
  <c r="S789" i="34"/>
  <c r="S790" i="34"/>
  <c r="S791" i="34"/>
  <c r="S792" i="34"/>
  <c r="S793" i="34"/>
  <c r="S794" i="34"/>
  <c r="S795" i="34"/>
  <c r="S796" i="34"/>
  <c r="S797" i="34"/>
  <c r="S798" i="34"/>
  <c r="S799" i="34"/>
  <c r="S800" i="34"/>
  <c r="S801" i="34"/>
  <c r="S802" i="34"/>
  <c r="S803" i="34"/>
  <c r="S804" i="34"/>
  <c r="S805" i="34"/>
  <c r="S806" i="34"/>
  <c r="S807" i="34"/>
  <c r="S808" i="34"/>
  <c r="S809" i="34"/>
  <c r="S810" i="34"/>
  <c r="S811" i="34"/>
  <c r="S812" i="34"/>
  <c r="S813" i="34"/>
  <c r="S814" i="34"/>
  <c r="S815" i="34"/>
  <c r="S816" i="34"/>
  <c r="S817" i="34"/>
  <c r="S818" i="34"/>
  <c r="S819" i="34"/>
  <c r="S820" i="34"/>
  <c r="S821" i="34"/>
  <c r="S822" i="34"/>
  <c r="S823" i="34"/>
  <c r="S824" i="34"/>
  <c r="S825" i="34"/>
  <c r="S826" i="34"/>
  <c r="S827" i="34"/>
  <c r="S828" i="34"/>
  <c r="S829" i="34"/>
  <c r="S830" i="34"/>
  <c r="S831" i="34"/>
  <c r="S832" i="34"/>
  <c r="S833" i="34"/>
  <c r="S834" i="34"/>
  <c r="S835" i="34"/>
  <c r="S836" i="34"/>
  <c r="S837" i="34"/>
  <c r="S838" i="34"/>
  <c r="S839" i="34"/>
  <c r="S840" i="34"/>
  <c r="S841" i="34"/>
  <c r="S842" i="34"/>
  <c r="S843" i="34"/>
  <c r="S844" i="34"/>
  <c r="S845" i="34"/>
  <c r="S846" i="34"/>
  <c r="S847" i="34"/>
  <c r="S848" i="34"/>
  <c r="S849" i="34"/>
  <c r="S850" i="34"/>
  <c r="S851" i="34"/>
  <c r="S852" i="34"/>
  <c r="S853" i="34"/>
  <c r="S854" i="34"/>
  <c r="S855" i="34"/>
  <c r="S856" i="34"/>
  <c r="S857" i="34"/>
  <c r="S858" i="34"/>
  <c r="S859" i="34"/>
  <c r="S860" i="34"/>
  <c r="S861" i="34"/>
  <c r="S862" i="34"/>
  <c r="S863" i="34"/>
  <c r="S864" i="34"/>
  <c r="S865" i="34"/>
  <c r="S866" i="34"/>
  <c r="S867" i="34"/>
  <c r="S868" i="34"/>
  <c r="S869" i="34"/>
  <c r="S870" i="34"/>
  <c r="S871" i="34"/>
  <c r="S872" i="34"/>
  <c r="S873" i="34"/>
  <c r="S874" i="34"/>
  <c r="S875" i="34"/>
  <c r="S876" i="34"/>
  <c r="S877" i="34"/>
  <c r="S878" i="34"/>
  <c r="S879" i="34"/>
  <c r="S880" i="34"/>
  <c r="S881" i="34"/>
  <c r="S882" i="34"/>
  <c r="S883" i="34"/>
  <c r="S884" i="34"/>
  <c r="S885" i="34"/>
  <c r="S886" i="34"/>
  <c r="S887" i="34"/>
  <c r="S888" i="34"/>
  <c r="S889" i="34"/>
  <c r="S890" i="34"/>
  <c r="S891" i="34"/>
  <c r="S892" i="34"/>
  <c r="S893" i="34"/>
  <c r="S894" i="34"/>
  <c r="S895" i="34"/>
  <c r="S896" i="34"/>
  <c r="S897" i="34"/>
  <c r="S898" i="34"/>
  <c r="S899" i="34"/>
  <c r="S900" i="34"/>
  <c r="S901" i="34"/>
  <c r="S902" i="34"/>
  <c r="S903" i="34"/>
  <c r="S904" i="34"/>
  <c r="S905" i="34"/>
  <c r="S906" i="34"/>
  <c r="S907" i="34"/>
  <c r="S908" i="34"/>
  <c r="S909" i="34"/>
  <c r="S910" i="34"/>
  <c r="S911" i="34"/>
  <c r="S912" i="34"/>
  <c r="S913" i="34"/>
  <c r="S914" i="34"/>
  <c r="S915" i="34"/>
  <c r="S916" i="34"/>
  <c r="S917" i="34"/>
  <c r="S918" i="34"/>
  <c r="S919" i="34"/>
  <c r="S920" i="34"/>
  <c r="S921" i="34"/>
  <c r="S922" i="34"/>
  <c r="S923" i="34"/>
  <c r="S924" i="34"/>
  <c r="S925" i="34"/>
  <c r="S926" i="34"/>
  <c r="S927" i="34"/>
  <c r="S928" i="34"/>
  <c r="S929" i="34"/>
  <c r="S930" i="34"/>
  <c r="S931" i="34"/>
  <c r="S932" i="34"/>
  <c r="S933" i="34"/>
  <c r="S934" i="34"/>
  <c r="S935" i="34"/>
  <c r="S936" i="34"/>
  <c r="S937" i="34"/>
  <c r="S938" i="34"/>
  <c r="S939" i="34"/>
  <c r="S940" i="34"/>
  <c r="S941" i="34"/>
  <c r="S942" i="34"/>
  <c r="S943" i="34"/>
  <c r="S944" i="34"/>
  <c r="S945" i="34"/>
  <c r="S946" i="34"/>
  <c r="S947" i="34"/>
  <c r="S948" i="34"/>
  <c r="S949" i="34"/>
  <c r="S950" i="34"/>
  <c r="S951" i="34"/>
  <c r="S952" i="34"/>
  <c r="S953" i="34"/>
  <c r="S954" i="34"/>
  <c r="S955" i="34"/>
  <c r="S956" i="34"/>
  <c r="S957" i="34"/>
  <c r="S958" i="34"/>
  <c r="S959" i="34"/>
  <c r="S960" i="34"/>
  <c r="S961" i="34"/>
  <c r="S962" i="34"/>
  <c r="S963" i="34"/>
  <c r="S964" i="34"/>
  <c r="S965" i="34"/>
  <c r="S966" i="34"/>
  <c r="S967" i="34"/>
  <c r="S968" i="34"/>
  <c r="S969" i="34"/>
  <c r="S970" i="34"/>
  <c r="S971" i="34"/>
  <c r="S972" i="34"/>
  <c r="S973" i="34"/>
  <c r="S974" i="34"/>
  <c r="S975" i="34"/>
  <c r="S976" i="34"/>
  <c r="S977" i="34"/>
  <c r="S978" i="34"/>
  <c r="S979" i="34"/>
  <c r="S1034" i="34"/>
  <c r="S1035" i="34"/>
  <c r="S1036" i="34"/>
  <c r="S1038" i="34"/>
  <c r="S1039" i="34"/>
  <c r="S1040" i="34"/>
  <c r="S1041" i="34"/>
  <c r="S1042" i="34"/>
  <c r="S1043" i="34"/>
  <c r="S1044" i="34"/>
  <c r="S1045" i="34"/>
  <c r="S1046" i="34"/>
  <c r="S1047" i="34"/>
  <c r="S1048" i="34"/>
  <c r="S1049" i="34"/>
  <c r="S1050" i="34"/>
  <c r="S1051" i="34"/>
  <c r="S1052" i="34"/>
  <c r="S1053" i="34"/>
  <c r="S1054" i="34"/>
  <c r="S1055" i="34"/>
  <c r="S1056" i="34"/>
  <c r="S1057" i="34"/>
  <c r="S1058" i="34"/>
  <c r="S1059" i="34"/>
  <c r="S1060" i="34"/>
  <c r="S1061" i="34"/>
  <c r="S1062" i="34"/>
  <c r="S1063" i="34"/>
  <c r="S1064" i="34"/>
  <c r="S1065" i="34"/>
  <c r="S1066" i="34"/>
  <c r="S1067" i="34"/>
  <c r="S1068" i="34"/>
  <c r="S1069" i="34"/>
  <c r="S1070" i="34"/>
  <c r="S1071" i="34"/>
  <c r="S1072" i="34"/>
  <c r="S1073" i="34"/>
  <c r="S1074" i="34"/>
  <c r="S1075" i="34"/>
  <c r="S1076" i="34"/>
  <c r="S1077" i="34"/>
  <c r="S1078" i="34"/>
  <c r="S1079" i="34"/>
  <c r="S1080" i="34"/>
  <c r="S1081" i="34"/>
  <c r="S1082" i="34"/>
  <c r="S1083" i="34"/>
  <c r="S1084" i="34"/>
  <c r="S1085" i="34"/>
  <c r="S1086" i="34"/>
  <c r="S1087" i="34"/>
  <c r="S1088" i="34"/>
  <c r="S1089" i="34"/>
  <c r="S1090" i="34"/>
  <c r="S1091" i="34"/>
  <c r="S1092" i="34"/>
  <c r="S1093" i="34"/>
  <c r="S1094" i="34"/>
  <c r="S1095" i="34"/>
  <c r="S1096" i="34"/>
  <c r="S1097" i="34"/>
  <c r="S1098" i="34"/>
  <c r="S1099" i="34"/>
  <c r="S1100" i="34"/>
  <c r="S1101" i="34"/>
  <c r="S1102" i="34"/>
  <c r="S1103" i="34"/>
  <c r="S1104" i="34"/>
  <c r="S1105" i="34"/>
  <c r="S1106" i="34"/>
  <c r="S1107" i="34"/>
  <c r="S1108" i="34"/>
  <c r="S1109" i="34"/>
  <c r="S1110" i="34"/>
  <c r="S1111" i="34"/>
  <c r="S1112" i="34"/>
  <c r="S1113" i="34"/>
  <c r="S1114" i="34"/>
  <c r="S1115" i="34"/>
  <c r="S1116" i="34"/>
  <c r="S1117" i="34"/>
  <c r="S1118" i="34"/>
  <c r="S1119" i="34"/>
  <c r="S1120" i="34"/>
  <c r="S1121" i="34"/>
  <c r="S1122" i="34"/>
  <c r="S1123" i="34"/>
  <c r="Q8" i="34"/>
  <c r="G8" i="3"/>
  <c r="G9" i="3"/>
  <c r="J9" i="3" s="1"/>
  <c r="G10" i="3"/>
  <c r="J10" i="3" s="1"/>
  <c r="G11" i="3"/>
  <c r="J11" i="3" s="1"/>
  <c r="G12" i="3"/>
  <c r="G13" i="3"/>
  <c r="J13" i="3" s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J37" i="3" s="1"/>
  <c r="G38" i="3"/>
  <c r="G39" i="3"/>
  <c r="G40" i="3"/>
  <c r="G41" i="3"/>
  <c r="G42" i="3"/>
  <c r="G43" i="3"/>
  <c r="G44" i="3"/>
  <c r="G45" i="3"/>
  <c r="G46" i="3"/>
  <c r="G47" i="3"/>
  <c r="G48" i="3"/>
  <c r="G49" i="3"/>
  <c r="G7" i="3"/>
  <c r="J7" i="3" s="1"/>
  <c r="S6" i="34" l="1"/>
  <c r="R1066" i="34" l="1"/>
  <c r="R1065" i="34"/>
  <c r="R1064" i="34"/>
  <c r="R1063" i="34"/>
  <c r="R1062" i="34"/>
  <c r="R1061" i="34"/>
  <c r="R1060" i="34"/>
  <c r="R1059" i="34"/>
  <c r="R1058" i="34"/>
  <c r="R1057" i="34"/>
  <c r="R1056" i="34"/>
  <c r="R1055" i="34"/>
  <c r="R1054" i="34"/>
  <c r="R1053" i="34"/>
  <c r="R1052" i="34"/>
  <c r="R1051" i="34"/>
  <c r="R1050" i="34"/>
  <c r="R1049" i="34"/>
  <c r="R1048" i="34"/>
  <c r="R1047" i="34"/>
  <c r="R1046" i="34"/>
  <c r="R1045" i="34"/>
  <c r="R1044" i="34"/>
  <c r="R1043" i="34"/>
  <c r="R1042" i="34"/>
  <c r="M18" i="3"/>
  <c r="M6" i="34"/>
  <c r="R1" i="34" s="1"/>
  <c r="M43" i="3"/>
  <c r="M44" i="3"/>
  <c r="M45" i="3"/>
  <c r="M46" i="3"/>
  <c r="M47" i="3"/>
  <c r="M48" i="3"/>
  <c r="M49" i="3"/>
  <c r="M8" i="3" l="1"/>
  <c r="M14" i="3"/>
  <c r="M21" i="3" l="1"/>
  <c r="M7" i="3"/>
  <c r="P6" i="34" l="1"/>
  <c r="J8" i="3" l="1"/>
  <c r="C10" i="21" l="1"/>
  <c r="F11" i="21" s="1"/>
  <c r="F12" i="21" l="1"/>
  <c r="G41" i="4"/>
  <c r="H41" i="4"/>
  <c r="M36" i="3" l="1"/>
  <c r="M30" i="3"/>
  <c r="Q9" i="34" l="1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29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42" i="34"/>
  <c r="Q43" i="34"/>
  <c r="Q44" i="34"/>
  <c r="Q45" i="34"/>
  <c r="Q46" i="34"/>
  <c r="Q47" i="34"/>
  <c r="Q48" i="34"/>
  <c r="Q49" i="34"/>
  <c r="Q50" i="34"/>
  <c r="Q51" i="34"/>
  <c r="Q52" i="34"/>
  <c r="Q53" i="34"/>
  <c r="Q54" i="34"/>
  <c r="Q55" i="34"/>
  <c r="Q56" i="34"/>
  <c r="Q57" i="34"/>
  <c r="Q58" i="34"/>
  <c r="Q59" i="34"/>
  <c r="Q60" i="34"/>
  <c r="Q61" i="34"/>
  <c r="Q62" i="34"/>
  <c r="Q63" i="34"/>
  <c r="Q64" i="34"/>
  <c r="Q65" i="34"/>
  <c r="Q66" i="34"/>
  <c r="Q67" i="34"/>
  <c r="Q68" i="34"/>
  <c r="Q69" i="34"/>
  <c r="Q70" i="34"/>
  <c r="Q71" i="34"/>
  <c r="Q72" i="34"/>
  <c r="Q73" i="34"/>
  <c r="Q74" i="34"/>
  <c r="Q75" i="34"/>
  <c r="Q76" i="34"/>
  <c r="Q77" i="34"/>
  <c r="Q78" i="34"/>
  <c r="Q79" i="34"/>
  <c r="Q80" i="34"/>
  <c r="Q81" i="34"/>
  <c r="Q82" i="34"/>
  <c r="Q83" i="34"/>
  <c r="Q84" i="34"/>
  <c r="Q85" i="34"/>
  <c r="Q86" i="34"/>
  <c r="Q87" i="34"/>
  <c r="Q88" i="34"/>
  <c r="Q89" i="34"/>
  <c r="Q90" i="34"/>
  <c r="Q91" i="34"/>
  <c r="Q92" i="34"/>
  <c r="Q93" i="34"/>
  <c r="Q94" i="34"/>
  <c r="Q95" i="34"/>
  <c r="Q96" i="34"/>
  <c r="Q97" i="34"/>
  <c r="Q98" i="34"/>
  <c r="Q99" i="34"/>
  <c r="Q100" i="34"/>
  <c r="Q101" i="34"/>
  <c r="Q102" i="34"/>
  <c r="Q103" i="34"/>
  <c r="Q104" i="34"/>
  <c r="Q105" i="34"/>
  <c r="Q106" i="34"/>
  <c r="Q107" i="34"/>
  <c r="Q108" i="34"/>
  <c r="Q109" i="34"/>
  <c r="Q110" i="34"/>
  <c r="Q111" i="34"/>
  <c r="Q112" i="34"/>
  <c r="Q113" i="34"/>
  <c r="Q114" i="34"/>
  <c r="Q115" i="34"/>
  <c r="Q116" i="34"/>
  <c r="Q117" i="34"/>
  <c r="Q118" i="34"/>
  <c r="Q119" i="34"/>
  <c r="Q120" i="34"/>
  <c r="Q121" i="34"/>
  <c r="Q122" i="34"/>
  <c r="Q123" i="34"/>
  <c r="Q124" i="34"/>
  <c r="Q125" i="34"/>
  <c r="Q126" i="34"/>
  <c r="Q127" i="34"/>
  <c r="Q128" i="34"/>
  <c r="Q129" i="34"/>
  <c r="Q130" i="34"/>
  <c r="Q131" i="34"/>
  <c r="Q132" i="34"/>
  <c r="Q133" i="34"/>
  <c r="Q134" i="34"/>
  <c r="Q135" i="34"/>
  <c r="Q136" i="34"/>
  <c r="Q137" i="34"/>
  <c r="Q138" i="34"/>
  <c r="Q139" i="34"/>
  <c r="Q140" i="34"/>
  <c r="Q141" i="34"/>
  <c r="Q142" i="34"/>
  <c r="Q143" i="34"/>
  <c r="Q144" i="34"/>
  <c r="Q145" i="34"/>
  <c r="Q146" i="34"/>
  <c r="Q147" i="34"/>
  <c r="Q148" i="34"/>
  <c r="Q149" i="34"/>
  <c r="Q150" i="34"/>
  <c r="Q151" i="34"/>
  <c r="Q152" i="34"/>
  <c r="Q153" i="34"/>
  <c r="Q154" i="34"/>
  <c r="Q155" i="34"/>
  <c r="Q156" i="34"/>
  <c r="Q157" i="34"/>
  <c r="Q158" i="34"/>
  <c r="Q159" i="34"/>
  <c r="Q160" i="34"/>
  <c r="Q161" i="34"/>
  <c r="Q162" i="34"/>
  <c r="Q163" i="34"/>
  <c r="Q164" i="34"/>
  <c r="Q165" i="34"/>
  <c r="Q166" i="34"/>
  <c r="Q167" i="34"/>
  <c r="Q168" i="34"/>
  <c r="Q169" i="34"/>
  <c r="Q170" i="34"/>
  <c r="Q171" i="34"/>
  <c r="Q172" i="34"/>
  <c r="Q173" i="34"/>
  <c r="Q174" i="34"/>
  <c r="Q175" i="34"/>
  <c r="Q176" i="34"/>
  <c r="Q177" i="34"/>
  <c r="Q178" i="34"/>
  <c r="Q179" i="34"/>
  <c r="Q180" i="34"/>
  <c r="Q181" i="34"/>
  <c r="Q182" i="34"/>
  <c r="Q183" i="34"/>
  <c r="Q184" i="34"/>
  <c r="Q185" i="34"/>
  <c r="Q186" i="34"/>
  <c r="Q187" i="34"/>
  <c r="Q188" i="34"/>
  <c r="Q189" i="34"/>
  <c r="Q190" i="34"/>
  <c r="Q191" i="34"/>
  <c r="Q192" i="34"/>
  <c r="Q193" i="34"/>
  <c r="Q194" i="34"/>
  <c r="Q195" i="34"/>
  <c r="Q196" i="34"/>
  <c r="Q197" i="34"/>
  <c r="Q198" i="34"/>
  <c r="Q199" i="34"/>
  <c r="Q200" i="34"/>
  <c r="Q201" i="34"/>
  <c r="Q202" i="34"/>
  <c r="Q203" i="34"/>
  <c r="Q204" i="34"/>
  <c r="Q205" i="34"/>
  <c r="Q206" i="34"/>
  <c r="Q207" i="34"/>
  <c r="Q208" i="34"/>
  <c r="Q209" i="34"/>
  <c r="Q210" i="34"/>
  <c r="Q211" i="34"/>
  <c r="Q212" i="34"/>
  <c r="Q213" i="34"/>
  <c r="Q214" i="34"/>
  <c r="Q215" i="34"/>
  <c r="Q216" i="34"/>
  <c r="Q217" i="34"/>
  <c r="Q218" i="34"/>
  <c r="Q219" i="34"/>
  <c r="Q220" i="34"/>
  <c r="Q221" i="34"/>
  <c r="Q222" i="34"/>
  <c r="Q223" i="34"/>
  <c r="Q224" i="34"/>
  <c r="Q225" i="34"/>
  <c r="Q226" i="34"/>
  <c r="Q227" i="34"/>
  <c r="Q228" i="34"/>
  <c r="Q229" i="34"/>
  <c r="Q230" i="34"/>
  <c r="Q231" i="34"/>
  <c r="Q232" i="34"/>
  <c r="Q233" i="34"/>
  <c r="Q234" i="34"/>
  <c r="Q235" i="34"/>
  <c r="Q236" i="34"/>
  <c r="Q237" i="34"/>
  <c r="Q238" i="34"/>
  <c r="Q239" i="34"/>
  <c r="Q240" i="34"/>
  <c r="Q241" i="34"/>
  <c r="Q242" i="34"/>
  <c r="Q243" i="34"/>
  <c r="Q244" i="34"/>
  <c r="Q245" i="34"/>
  <c r="Q246" i="34"/>
  <c r="Q247" i="34"/>
  <c r="Q248" i="34"/>
  <c r="Q249" i="34"/>
  <c r="Q250" i="34"/>
  <c r="Q251" i="34"/>
  <c r="Q252" i="34"/>
  <c r="Q253" i="34"/>
  <c r="Q254" i="34"/>
  <c r="Q255" i="34"/>
  <c r="Q256" i="34"/>
  <c r="Q257" i="34"/>
  <c r="Q258" i="34"/>
  <c r="Q259" i="34"/>
  <c r="Q260" i="34"/>
  <c r="Q261" i="34"/>
  <c r="Q262" i="34"/>
  <c r="Q263" i="34"/>
  <c r="Q264" i="34"/>
  <c r="Q265" i="34"/>
  <c r="Q266" i="34"/>
  <c r="Q267" i="34"/>
  <c r="Q268" i="34"/>
  <c r="Q269" i="34"/>
  <c r="Q270" i="34"/>
  <c r="Q271" i="34"/>
  <c r="Q272" i="34"/>
  <c r="Q273" i="34"/>
  <c r="Q274" i="34"/>
  <c r="Q275" i="34"/>
  <c r="Q276" i="34"/>
  <c r="Q277" i="34"/>
  <c r="Q278" i="34"/>
  <c r="Q279" i="34"/>
  <c r="Q280" i="34"/>
  <c r="Q281" i="34"/>
  <c r="Q282" i="34"/>
  <c r="Q283" i="34"/>
  <c r="Q284" i="34"/>
  <c r="Q285" i="34"/>
  <c r="Q286" i="34"/>
  <c r="Q287" i="34"/>
  <c r="Q288" i="34"/>
  <c r="Q289" i="34"/>
  <c r="Q290" i="34"/>
  <c r="Q291" i="34"/>
  <c r="Q292" i="34"/>
  <c r="Q293" i="34"/>
  <c r="Q294" i="34"/>
  <c r="Q295" i="34"/>
  <c r="Q296" i="34"/>
  <c r="Q297" i="34"/>
  <c r="Q298" i="34"/>
  <c r="Q299" i="34"/>
  <c r="Q300" i="34"/>
  <c r="Q301" i="34"/>
  <c r="Q302" i="34"/>
  <c r="Q303" i="34"/>
  <c r="Q304" i="34"/>
  <c r="Q305" i="34"/>
  <c r="Q306" i="34"/>
  <c r="Q307" i="34"/>
  <c r="Q308" i="34"/>
  <c r="Q309" i="34"/>
  <c r="Q310" i="34"/>
  <c r="Q311" i="34"/>
  <c r="Q312" i="34"/>
  <c r="Q313" i="34"/>
  <c r="Q314" i="34"/>
  <c r="Q315" i="34"/>
  <c r="Q316" i="34"/>
  <c r="Q317" i="34"/>
  <c r="Q318" i="34"/>
  <c r="Q319" i="34"/>
  <c r="Q320" i="34"/>
  <c r="Q321" i="34"/>
  <c r="Q322" i="34"/>
  <c r="Q323" i="34"/>
  <c r="Q324" i="34"/>
  <c r="Q325" i="34"/>
  <c r="Q326" i="34"/>
  <c r="Q327" i="34"/>
  <c r="Q328" i="34"/>
  <c r="Q329" i="34"/>
  <c r="Q330" i="34"/>
  <c r="Q331" i="34"/>
  <c r="Q332" i="34"/>
  <c r="Q333" i="34"/>
  <c r="Q334" i="34"/>
  <c r="Q335" i="34"/>
  <c r="Q336" i="34"/>
  <c r="Q337" i="34"/>
  <c r="Q338" i="34"/>
  <c r="Q339" i="34"/>
  <c r="Q340" i="34"/>
  <c r="Q341" i="34"/>
  <c r="Q342" i="34"/>
  <c r="Q343" i="34"/>
  <c r="Q344" i="34"/>
  <c r="Q345" i="34"/>
  <c r="Q346" i="34"/>
  <c r="Q347" i="34"/>
  <c r="Q348" i="34"/>
  <c r="Q349" i="34"/>
  <c r="Q350" i="34"/>
  <c r="Q351" i="34"/>
  <c r="Q352" i="34"/>
  <c r="Q353" i="34"/>
  <c r="Q354" i="34"/>
  <c r="Q355" i="34"/>
  <c r="Q356" i="34"/>
  <c r="Q357" i="34"/>
  <c r="Q358" i="34"/>
  <c r="Q359" i="34"/>
  <c r="Q360" i="34"/>
  <c r="Q361" i="34"/>
  <c r="Q362" i="34"/>
  <c r="Q363" i="34"/>
  <c r="Q364" i="34"/>
  <c r="Q365" i="34"/>
  <c r="Q366" i="34"/>
  <c r="Q367" i="34"/>
  <c r="Q368" i="34"/>
  <c r="Q369" i="34"/>
  <c r="Q370" i="34"/>
  <c r="Q371" i="34"/>
  <c r="Q372" i="34"/>
  <c r="Q373" i="34"/>
  <c r="Q374" i="34"/>
  <c r="Q375" i="34"/>
  <c r="Q376" i="34"/>
  <c r="Q377" i="34"/>
  <c r="Q378" i="34"/>
  <c r="Q379" i="34"/>
  <c r="Q380" i="34"/>
  <c r="Q381" i="34"/>
  <c r="Q382" i="34"/>
  <c r="Q383" i="34"/>
  <c r="Q384" i="34"/>
  <c r="Q385" i="34"/>
  <c r="Q386" i="34"/>
  <c r="Q387" i="34"/>
  <c r="Q388" i="34"/>
  <c r="Q389" i="34"/>
  <c r="Q390" i="34"/>
  <c r="Q391" i="34"/>
  <c r="Q392" i="34"/>
  <c r="Q393" i="34"/>
  <c r="Q394" i="34"/>
  <c r="Q395" i="34"/>
  <c r="Q396" i="34"/>
  <c r="Q397" i="34"/>
  <c r="Q398" i="34"/>
  <c r="Q399" i="34"/>
  <c r="Q400" i="34"/>
  <c r="Q401" i="34"/>
  <c r="Q402" i="34"/>
  <c r="Q403" i="34"/>
  <c r="Q404" i="34"/>
  <c r="Q405" i="34"/>
  <c r="Q406" i="34"/>
  <c r="Q407" i="34"/>
  <c r="Q408" i="34"/>
  <c r="Q409" i="34"/>
  <c r="Q410" i="34"/>
  <c r="Q411" i="34"/>
  <c r="Q412" i="34"/>
  <c r="Q413" i="34"/>
  <c r="Q414" i="34"/>
  <c r="Q415" i="34"/>
  <c r="Q416" i="34"/>
  <c r="Q417" i="34"/>
  <c r="Q418" i="34"/>
  <c r="Q419" i="34"/>
  <c r="Q420" i="34"/>
  <c r="Q421" i="34"/>
  <c r="Q422" i="34"/>
  <c r="Q423" i="34"/>
  <c r="Q424" i="34"/>
  <c r="Q425" i="34"/>
  <c r="Q426" i="34"/>
  <c r="Q427" i="34"/>
  <c r="Q428" i="34"/>
  <c r="Q429" i="34"/>
  <c r="Q430" i="34"/>
  <c r="Q431" i="34"/>
  <c r="Q432" i="34"/>
  <c r="Q433" i="34"/>
  <c r="Q434" i="34"/>
  <c r="Q435" i="34"/>
  <c r="Q436" i="34"/>
  <c r="Q437" i="34"/>
  <c r="Q438" i="34"/>
  <c r="Q439" i="34"/>
  <c r="Q440" i="34"/>
  <c r="Q441" i="34"/>
  <c r="Q442" i="34"/>
  <c r="Q443" i="34"/>
  <c r="Q444" i="34"/>
  <c r="Q445" i="34"/>
  <c r="Q446" i="34"/>
  <c r="Q447" i="34"/>
  <c r="Q448" i="34"/>
  <c r="Q449" i="34"/>
  <c r="Q450" i="34"/>
  <c r="Q451" i="34"/>
  <c r="Q452" i="34"/>
  <c r="Q453" i="34"/>
  <c r="Q454" i="34"/>
  <c r="Q455" i="34"/>
  <c r="Q456" i="34"/>
  <c r="Q457" i="34"/>
  <c r="Q458" i="34"/>
  <c r="Q459" i="34"/>
  <c r="Q460" i="34"/>
  <c r="Q461" i="34"/>
  <c r="Q462" i="34"/>
  <c r="Q463" i="34"/>
  <c r="Q464" i="34"/>
  <c r="Q465" i="34"/>
  <c r="Q466" i="34"/>
  <c r="Q467" i="34"/>
  <c r="Q468" i="34"/>
  <c r="Q469" i="34"/>
  <c r="Q470" i="34"/>
  <c r="Q471" i="34"/>
  <c r="Q472" i="34"/>
  <c r="Q473" i="34"/>
  <c r="Q474" i="34"/>
  <c r="Q475" i="34"/>
  <c r="Q476" i="34"/>
  <c r="Q477" i="34"/>
  <c r="Q478" i="34"/>
  <c r="Q479" i="34"/>
  <c r="Q480" i="34"/>
  <c r="Q481" i="34"/>
  <c r="Q482" i="34"/>
  <c r="Q483" i="34"/>
  <c r="Q484" i="34"/>
  <c r="Q485" i="34"/>
  <c r="Q486" i="34"/>
  <c r="Q487" i="34"/>
  <c r="Q488" i="34"/>
  <c r="Q489" i="34"/>
  <c r="Q490" i="34"/>
  <c r="Q491" i="34"/>
  <c r="Q492" i="34"/>
  <c r="Q493" i="34"/>
  <c r="Q494" i="34"/>
  <c r="Q495" i="34"/>
  <c r="Q496" i="34"/>
  <c r="Q497" i="34"/>
  <c r="Q498" i="34"/>
  <c r="Q499" i="34"/>
  <c r="Q500" i="34"/>
  <c r="Q501" i="34"/>
  <c r="Q502" i="34"/>
  <c r="Q503" i="34"/>
  <c r="Q504" i="34"/>
  <c r="Q505" i="34"/>
  <c r="Q506" i="34"/>
  <c r="Q507" i="34"/>
  <c r="Q508" i="34"/>
  <c r="Q509" i="34"/>
  <c r="Q510" i="34"/>
  <c r="Q511" i="34"/>
  <c r="Q512" i="34"/>
  <c r="Q513" i="34"/>
  <c r="Q514" i="34"/>
  <c r="Q515" i="34"/>
  <c r="Q516" i="34"/>
  <c r="Q517" i="34"/>
  <c r="Q518" i="34"/>
  <c r="Q519" i="34"/>
  <c r="Q520" i="34"/>
  <c r="Q521" i="34"/>
  <c r="Q522" i="34"/>
  <c r="Q523" i="34"/>
  <c r="Q524" i="34"/>
  <c r="Q525" i="34"/>
  <c r="Q526" i="34"/>
  <c r="Q527" i="34"/>
  <c r="Q528" i="34"/>
  <c r="Q529" i="34"/>
  <c r="Q530" i="34"/>
  <c r="Q531" i="34"/>
  <c r="Q532" i="34"/>
  <c r="Q533" i="34"/>
  <c r="Q534" i="34"/>
  <c r="Q535" i="34"/>
  <c r="Q536" i="34"/>
  <c r="Q537" i="34"/>
  <c r="Q538" i="34"/>
  <c r="Q539" i="34"/>
  <c r="Q540" i="34"/>
  <c r="Q541" i="34"/>
  <c r="Q542" i="34"/>
  <c r="Q543" i="34"/>
  <c r="Q544" i="34"/>
  <c r="Q545" i="34"/>
  <c r="Q546" i="34"/>
  <c r="Q547" i="34"/>
  <c r="Q548" i="34"/>
  <c r="Q549" i="34"/>
  <c r="Q550" i="34"/>
  <c r="Q551" i="34"/>
  <c r="Q552" i="34"/>
  <c r="Q553" i="34"/>
  <c r="Q554" i="34"/>
  <c r="Q555" i="34"/>
  <c r="Q556" i="34"/>
  <c r="Q557" i="34"/>
  <c r="Q558" i="34"/>
  <c r="Q559" i="34"/>
  <c r="Q560" i="34"/>
  <c r="Q561" i="34"/>
  <c r="Q562" i="34"/>
  <c r="Q563" i="34"/>
  <c r="Q564" i="34"/>
  <c r="Q565" i="34"/>
  <c r="Q566" i="34"/>
  <c r="Q567" i="34"/>
  <c r="Q568" i="34"/>
  <c r="Q569" i="34"/>
  <c r="Q570" i="34"/>
  <c r="Q571" i="34"/>
  <c r="Q572" i="34"/>
  <c r="Q573" i="34"/>
  <c r="Q574" i="34"/>
  <c r="Q575" i="34"/>
  <c r="Q576" i="34"/>
  <c r="Q577" i="34"/>
  <c r="Q578" i="34"/>
  <c r="Q579" i="34"/>
  <c r="Q580" i="34"/>
  <c r="Q581" i="34"/>
  <c r="Q582" i="34"/>
  <c r="Q583" i="34"/>
  <c r="Q584" i="34"/>
  <c r="Q585" i="34"/>
  <c r="Q586" i="34"/>
  <c r="Q587" i="34"/>
  <c r="Q588" i="34"/>
  <c r="Q589" i="34"/>
  <c r="Q590" i="34"/>
  <c r="Q591" i="34"/>
  <c r="Q592" i="34"/>
  <c r="Q593" i="34"/>
  <c r="Q594" i="34"/>
  <c r="Q595" i="34"/>
  <c r="Q596" i="34"/>
  <c r="Q597" i="34"/>
  <c r="Q598" i="34"/>
  <c r="Q599" i="34"/>
  <c r="Q600" i="34"/>
  <c r="Q601" i="34"/>
  <c r="Q602" i="34"/>
  <c r="Q603" i="34"/>
  <c r="Q604" i="34"/>
  <c r="Q605" i="34"/>
  <c r="Q606" i="34"/>
  <c r="Q607" i="34"/>
  <c r="Q608" i="34"/>
  <c r="Q609" i="34"/>
  <c r="Q610" i="34"/>
  <c r="Q611" i="34"/>
  <c r="Q612" i="34"/>
  <c r="Q613" i="34"/>
  <c r="Q614" i="34"/>
  <c r="Q615" i="34"/>
  <c r="Q616" i="34"/>
  <c r="Q617" i="34"/>
  <c r="Q618" i="34"/>
  <c r="Q619" i="34"/>
  <c r="Q620" i="34"/>
  <c r="Q621" i="34"/>
  <c r="Q622" i="34"/>
  <c r="Q623" i="34"/>
  <c r="Q624" i="34"/>
  <c r="Q625" i="34"/>
  <c r="Q626" i="34"/>
  <c r="Q627" i="34"/>
  <c r="Q628" i="34"/>
  <c r="Q629" i="34"/>
  <c r="Q630" i="34"/>
  <c r="Q631" i="34"/>
  <c r="Q632" i="34"/>
  <c r="Q633" i="34"/>
  <c r="Q634" i="34"/>
  <c r="Q635" i="34"/>
  <c r="Q636" i="34"/>
  <c r="Q637" i="34"/>
  <c r="Q638" i="34"/>
  <c r="Q639" i="34"/>
  <c r="Q640" i="34"/>
  <c r="Q641" i="34"/>
  <c r="Q642" i="34"/>
  <c r="Q643" i="34"/>
  <c r="Q644" i="34"/>
  <c r="Q645" i="34"/>
  <c r="Q646" i="34"/>
  <c r="Q647" i="34"/>
  <c r="Q648" i="34"/>
  <c r="Q649" i="34"/>
  <c r="Q650" i="34"/>
  <c r="Q651" i="34"/>
  <c r="Q652" i="34"/>
  <c r="Q653" i="34"/>
  <c r="Q654" i="34"/>
  <c r="Q655" i="34"/>
  <c r="Q656" i="34"/>
  <c r="Q657" i="34"/>
  <c r="Q658" i="34"/>
  <c r="Q659" i="34"/>
  <c r="Q660" i="34"/>
  <c r="Q661" i="34"/>
  <c r="Q662" i="34"/>
  <c r="Q663" i="34"/>
  <c r="Q664" i="34"/>
  <c r="Q665" i="34"/>
  <c r="Q666" i="34"/>
  <c r="Q667" i="34"/>
  <c r="Q668" i="34"/>
  <c r="Q669" i="34"/>
  <c r="Q670" i="34"/>
  <c r="Q671" i="34"/>
  <c r="Q672" i="34"/>
  <c r="Q673" i="34"/>
  <c r="Q674" i="34"/>
  <c r="Q675" i="34"/>
  <c r="Q676" i="34"/>
  <c r="Q677" i="34"/>
  <c r="Q678" i="34"/>
  <c r="Q679" i="34"/>
  <c r="Q680" i="34"/>
  <c r="Q681" i="34"/>
  <c r="Q682" i="34"/>
  <c r="Q683" i="34"/>
  <c r="Q684" i="34"/>
  <c r="Q685" i="34"/>
  <c r="Q686" i="34"/>
  <c r="Q687" i="34"/>
  <c r="Q688" i="34"/>
  <c r="Q689" i="34"/>
  <c r="Q690" i="34"/>
  <c r="Q691" i="34"/>
  <c r="Q692" i="34"/>
  <c r="Q693" i="34"/>
  <c r="Q694" i="34"/>
  <c r="Q695" i="34"/>
  <c r="Q696" i="34"/>
  <c r="Q697" i="34"/>
  <c r="Q698" i="34"/>
  <c r="Q699" i="34"/>
  <c r="Q700" i="34"/>
  <c r="Q701" i="34"/>
  <c r="Q702" i="34"/>
  <c r="Q703" i="34"/>
  <c r="Q704" i="34"/>
  <c r="Q705" i="34"/>
  <c r="Q706" i="34"/>
  <c r="Q707" i="34"/>
  <c r="Q708" i="34"/>
  <c r="Q709" i="34"/>
  <c r="Q710" i="34"/>
  <c r="Q711" i="34"/>
  <c r="Q712" i="34"/>
  <c r="Q713" i="34"/>
  <c r="Q714" i="34"/>
  <c r="Q715" i="34"/>
  <c r="Q716" i="34"/>
  <c r="Q717" i="34"/>
  <c r="Q718" i="34"/>
  <c r="Q719" i="34"/>
  <c r="Q720" i="34"/>
  <c r="Q721" i="34"/>
  <c r="Q722" i="34"/>
  <c r="Q723" i="34"/>
  <c r="Q724" i="34"/>
  <c r="Q725" i="34"/>
  <c r="Q726" i="34"/>
  <c r="Q727" i="34"/>
  <c r="Q728" i="34"/>
  <c r="Q729" i="34"/>
  <c r="Q730" i="34"/>
  <c r="Q731" i="34"/>
  <c r="Q732" i="34"/>
  <c r="Q733" i="34"/>
  <c r="Q734" i="34"/>
  <c r="Q735" i="34"/>
  <c r="Q736" i="34"/>
  <c r="Q737" i="34"/>
  <c r="Q738" i="34"/>
  <c r="Q739" i="34"/>
  <c r="Q740" i="34"/>
  <c r="Q741" i="34"/>
  <c r="Q742" i="34"/>
  <c r="Q743" i="34"/>
  <c r="Q744" i="34"/>
  <c r="Q745" i="34"/>
  <c r="Q746" i="34"/>
  <c r="Q747" i="34"/>
  <c r="Q748" i="34"/>
  <c r="Q749" i="34"/>
  <c r="Q750" i="34"/>
  <c r="Q751" i="34"/>
  <c r="Q752" i="34"/>
  <c r="Q753" i="34"/>
  <c r="Q754" i="34"/>
  <c r="Q755" i="34"/>
  <c r="Q756" i="34"/>
  <c r="Q757" i="34"/>
  <c r="Q758" i="34"/>
  <c r="Q759" i="34"/>
  <c r="Q760" i="34"/>
  <c r="Q761" i="34"/>
  <c r="Q762" i="34"/>
  <c r="Q763" i="34"/>
  <c r="Q764" i="34"/>
  <c r="Q765" i="34"/>
  <c r="Q766" i="34"/>
  <c r="Q767" i="34"/>
  <c r="Q768" i="34"/>
  <c r="Q769" i="34"/>
  <c r="Q770" i="34"/>
  <c r="Q771" i="34"/>
  <c r="Q772" i="34"/>
  <c r="Q773" i="34"/>
  <c r="Q774" i="34"/>
  <c r="Q775" i="34"/>
  <c r="Q776" i="34"/>
  <c r="Q777" i="34"/>
  <c r="Q778" i="34"/>
  <c r="Q779" i="34"/>
  <c r="Q780" i="34"/>
  <c r="Q781" i="34"/>
  <c r="Q782" i="34"/>
  <c r="Q783" i="34"/>
  <c r="Q784" i="34"/>
  <c r="Q785" i="34"/>
  <c r="Q786" i="34"/>
  <c r="Q787" i="34"/>
  <c r="Q788" i="34"/>
  <c r="Q789" i="34"/>
  <c r="Q790" i="34"/>
  <c r="Q791" i="34"/>
  <c r="Q792" i="34"/>
  <c r="Q793" i="34"/>
  <c r="Q794" i="34"/>
  <c r="Q795" i="34"/>
  <c r="Q796" i="34"/>
  <c r="Q797" i="34"/>
  <c r="Q798" i="34"/>
  <c r="Q799" i="34"/>
  <c r="Q800" i="34"/>
  <c r="Q801" i="34"/>
  <c r="Q802" i="34"/>
  <c r="Q803" i="34"/>
  <c r="Q804" i="34"/>
  <c r="Q805" i="34"/>
  <c r="Q806" i="34"/>
  <c r="Q807" i="34"/>
  <c r="Q808" i="34"/>
  <c r="Q809" i="34"/>
  <c r="Q810" i="34"/>
  <c r="Q811" i="34"/>
  <c r="Q812" i="34"/>
  <c r="Q813" i="34"/>
  <c r="Q814" i="34"/>
  <c r="Q815" i="34"/>
  <c r="Q816" i="34"/>
  <c r="Q817" i="34"/>
  <c r="Q818" i="34"/>
  <c r="Q819" i="34"/>
  <c r="Q820" i="34"/>
  <c r="Q821" i="34"/>
  <c r="Q822" i="34"/>
  <c r="Q823" i="34"/>
  <c r="Q824" i="34"/>
  <c r="Q825" i="34"/>
  <c r="Q826" i="34"/>
  <c r="Q827" i="34"/>
  <c r="Q828" i="34"/>
  <c r="Q829" i="34"/>
  <c r="Q830" i="34"/>
  <c r="Q831" i="34"/>
  <c r="Q832" i="34"/>
  <c r="Q833" i="34"/>
  <c r="Q834" i="34"/>
  <c r="Q835" i="34"/>
  <c r="Q836" i="34"/>
  <c r="Q837" i="34"/>
  <c r="Q838" i="34"/>
  <c r="Q839" i="34"/>
  <c r="Q840" i="34"/>
  <c r="Q841" i="34"/>
  <c r="Q842" i="34"/>
  <c r="Q843" i="34"/>
  <c r="Q844" i="34"/>
  <c r="Q845" i="34"/>
  <c r="Q846" i="34"/>
  <c r="Q847" i="34"/>
  <c r="Q848" i="34"/>
  <c r="Q849" i="34"/>
  <c r="Q850" i="34"/>
  <c r="Q851" i="34"/>
  <c r="Q852" i="34"/>
  <c r="Q853" i="34"/>
  <c r="Q854" i="34"/>
  <c r="Q855" i="34"/>
  <c r="Q856" i="34"/>
  <c r="Q857" i="34"/>
  <c r="Q858" i="34"/>
  <c r="Q859" i="34"/>
  <c r="Q860" i="34"/>
  <c r="Q861" i="34"/>
  <c r="Q862" i="34"/>
  <c r="Q863" i="34"/>
  <c r="Q864" i="34"/>
  <c r="Q865" i="34"/>
  <c r="Q866" i="34"/>
  <c r="Q867" i="34"/>
  <c r="Q868" i="34"/>
  <c r="Q869" i="34"/>
  <c r="Q870" i="34"/>
  <c r="Q871" i="34"/>
  <c r="Q872" i="34"/>
  <c r="Q873" i="34"/>
  <c r="Q874" i="34"/>
  <c r="Q875" i="34"/>
  <c r="Q876" i="34"/>
  <c r="Q877" i="34"/>
  <c r="Q878" i="34"/>
  <c r="Q879" i="34"/>
  <c r="Q880" i="34"/>
  <c r="Q881" i="34"/>
  <c r="Q882" i="34"/>
  <c r="Q883" i="34"/>
  <c r="Q884" i="34"/>
  <c r="Q885" i="34"/>
  <c r="Q886" i="34"/>
  <c r="Q887" i="34"/>
  <c r="Q888" i="34"/>
  <c r="Q889" i="34"/>
  <c r="Q890" i="34"/>
  <c r="Q891" i="34"/>
  <c r="Q892" i="34"/>
  <c r="Q893" i="34"/>
  <c r="Q894" i="34"/>
  <c r="Q895" i="34"/>
  <c r="Q896" i="34"/>
  <c r="Q897" i="34"/>
  <c r="Q898" i="34"/>
  <c r="Q899" i="34"/>
  <c r="Q900" i="34"/>
  <c r="Q901" i="34"/>
  <c r="Q902" i="34"/>
  <c r="Q903" i="34"/>
  <c r="Q904" i="34"/>
  <c r="Q905" i="34"/>
  <c r="Q906" i="34"/>
  <c r="Q907" i="34"/>
  <c r="Q908" i="34"/>
  <c r="Q909" i="34"/>
  <c r="Q910" i="34"/>
  <c r="Q911" i="34"/>
  <c r="Q912" i="34"/>
  <c r="Q913" i="34"/>
  <c r="Q914" i="34"/>
  <c r="Q915" i="34"/>
  <c r="Q916" i="34"/>
  <c r="Q917" i="34"/>
  <c r="Q918" i="34"/>
  <c r="Q919" i="34"/>
  <c r="Q920" i="34"/>
  <c r="Q921" i="34"/>
  <c r="Q922" i="34"/>
  <c r="Q923" i="34"/>
  <c r="Q924" i="34"/>
  <c r="Q925" i="34"/>
  <c r="Q926" i="34"/>
  <c r="Q927" i="34"/>
  <c r="Q928" i="34"/>
  <c r="Q929" i="34"/>
  <c r="Q930" i="34"/>
  <c r="Q931" i="34"/>
  <c r="Q932" i="34"/>
  <c r="Q933" i="34"/>
  <c r="Q934" i="34"/>
  <c r="Q935" i="34"/>
  <c r="Q936" i="34"/>
  <c r="Q937" i="34"/>
  <c r="Q938" i="34"/>
  <c r="Q939" i="34"/>
  <c r="Q940" i="34"/>
  <c r="Q941" i="34"/>
  <c r="Q942" i="34"/>
  <c r="Q943" i="34"/>
  <c r="Q944" i="34"/>
  <c r="Q945" i="34"/>
  <c r="Q946" i="34"/>
  <c r="Q947" i="34"/>
  <c r="Q948" i="34"/>
  <c r="Q949" i="34"/>
  <c r="Q950" i="34"/>
  <c r="Q951" i="34"/>
  <c r="Q952" i="34"/>
  <c r="Q953" i="34"/>
  <c r="Q954" i="34"/>
  <c r="Q955" i="34"/>
  <c r="Q956" i="34"/>
  <c r="Q957" i="34"/>
  <c r="Q958" i="34"/>
  <c r="Q959" i="34"/>
  <c r="Q960" i="34"/>
  <c r="Q961" i="34"/>
  <c r="Q962" i="34"/>
  <c r="Q963" i="34"/>
  <c r="Q964" i="34"/>
  <c r="Q965" i="34"/>
  <c r="Q966" i="34"/>
  <c r="Q968" i="34"/>
  <c r="Q969" i="34"/>
  <c r="Q970" i="34"/>
  <c r="Q971" i="34"/>
  <c r="Q972" i="34"/>
  <c r="Q973" i="34"/>
  <c r="Q974" i="34"/>
  <c r="Q975" i="34"/>
  <c r="Q976" i="34"/>
  <c r="Q977" i="34"/>
  <c r="Q978" i="34"/>
  <c r="Q979" i="34"/>
  <c r="Q980" i="34"/>
  <c r="Q981" i="34"/>
  <c r="Q982" i="34"/>
  <c r="Q983" i="34"/>
  <c r="Q984" i="34"/>
  <c r="Q985" i="34"/>
  <c r="Q986" i="34"/>
  <c r="Q987" i="34"/>
  <c r="Q988" i="34"/>
  <c r="Q989" i="34"/>
  <c r="Q990" i="34"/>
  <c r="Q991" i="34"/>
  <c r="Q992" i="34"/>
  <c r="Q993" i="34"/>
  <c r="Q994" i="34"/>
  <c r="Q995" i="34"/>
  <c r="Q996" i="34"/>
  <c r="Q997" i="34"/>
  <c r="Q998" i="34"/>
  <c r="Q999" i="34"/>
  <c r="Q1000" i="34"/>
  <c r="Q1001" i="34"/>
  <c r="Q1002" i="34"/>
  <c r="Q1003" i="34"/>
  <c r="Q1004" i="34"/>
  <c r="Q1005" i="34"/>
  <c r="Q1006" i="34"/>
  <c r="Q1007" i="34"/>
  <c r="Q1008" i="34"/>
  <c r="Q1009" i="34"/>
  <c r="Q1010" i="34"/>
  <c r="Q1011" i="34"/>
  <c r="Q1012" i="34"/>
  <c r="Q1013" i="34"/>
  <c r="Q1014" i="34"/>
  <c r="Q1015" i="34"/>
  <c r="Q1016" i="34"/>
  <c r="Q1017" i="34"/>
  <c r="Q1018" i="34"/>
  <c r="Q1019" i="34"/>
  <c r="Q1020" i="34"/>
  <c r="Q1021" i="34"/>
  <c r="Q1022" i="34"/>
  <c r="Q1023" i="34"/>
  <c r="Q1024" i="34"/>
  <c r="Q1025" i="34"/>
  <c r="Q1026" i="34"/>
  <c r="Q1027" i="34"/>
  <c r="Q1028" i="34"/>
  <c r="Q1029" i="34"/>
  <c r="Q1030" i="34"/>
  <c r="Q1031" i="34"/>
  <c r="Q1032" i="34"/>
  <c r="Q1033" i="34"/>
  <c r="Q1034" i="34"/>
  <c r="Q1035" i="34"/>
  <c r="Q1036" i="34"/>
  <c r="Q1037" i="34"/>
  <c r="Q1038" i="34"/>
  <c r="Q1039" i="34"/>
  <c r="Q1040" i="34"/>
  <c r="Q1041" i="34"/>
  <c r="Q1042" i="34"/>
  <c r="Q1043" i="34"/>
  <c r="Q1044" i="34"/>
  <c r="Q1045" i="34"/>
  <c r="Q1046" i="34"/>
  <c r="Q1047" i="34"/>
  <c r="Q1048" i="34"/>
  <c r="Q1049" i="34"/>
  <c r="Q1050" i="34"/>
  <c r="Q1051" i="34"/>
  <c r="Q1052" i="34"/>
  <c r="Q1053" i="34"/>
  <c r="Q1054" i="34"/>
  <c r="Q1055" i="34"/>
  <c r="Q1056" i="34"/>
  <c r="Q1057" i="34"/>
  <c r="Q1058" i="34"/>
  <c r="Q1059" i="34"/>
  <c r="Q1060" i="34"/>
  <c r="Q1061" i="34"/>
  <c r="Q1062" i="34"/>
  <c r="Q1063" i="34"/>
  <c r="Q1064" i="34"/>
  <c r="Q1065" i="34"/>
  <c r="Q1066" i="34"/>
  <c r="Q1067" i="34"/>
  <c r="Q1068" i="34"/>
  <c r="Q1069" i="34"/>
  <c r="Q1070" i="34"/>
  <c r="Q1071" i="34"/>
  <c r="Q1072" i="34"/>
  <c r="Q1073" i="34"/>
  <c r="Q1074" i="34"/>
  <c r="Q1075" i="34"/>
  <c r="Q1076" i="34"/>
  <c r="Q1077" i="34"/>
  <c r="Q1078" i="34"/>
  <c r="Q1079" i="34"/>
  <c r="Q1080" i="34"/>
  <c r="Q1081" i="34"/>
  <c r="Q1082" i="34"/>
  <c r="Q1083" i="34"/>
  <c r="Q1084" i="34"/>
  <c r="Q1085" i="34"/>
  <c r="Q1086" i="34"/>
  <c r="Q1087" i="34"/>
  <c r="Q1088" i="34"/>
  <c r="Q1089" i="34"/>
  <c r="Q1090" i="34"/>
  <c r="Q1091" i="34"/>
  <c r="Q1092" i="34"/>
  <c r="Q1093" i="34"/>
  <c r="Q1094" i="34"/>
  <c r="Q1095" i="34"/>
  <c r="Q1096" i="34"/>
  <c r="Q1097" i="34"/>
  <c r="Q1098" i="34"/>
  <c r="Q1099" i="34"/>
  <c r="Q1100" i="34"/>
  <c r="Q1101" i="34"/>
  <c r="Q1102" i="34"/>
  <c r="Q1103" i="34"/>
  <c r="Q1104" i="34"/>
  <c r="Q1105" i="34"/>
  <c r="Q1106" i="34"/>
  <c r="Q1107" i="34"/>
  <c r="Q1108" i="34"/>
  <c r="Q1109" i="34"/>
  <c r="Q1110" i="34"/>
  <c r="Q1111" i="34"/>
  <c r="Q1112" i="34"/>
  <c r="Q1113" i="34"/>
  <c r="Q1114" i="34"/>
  <c r="Q1115" i="34"/>
  <c r="Q1116" i="34"/>
  <c r="Q1117" i="34"/>
  <c r="Q1118" i="34"/>
  <c r="Q1119" i="34"/>
  <c r="Q1120" i="34"/>
  <c r="Q1121" i="34"/>
  <c r="Q1122" i="34"/>
  <c r="Q1123" i="34"/>
  <c r="Q6" i="34" l="1"/>
  <c r="R6" i="34"/>
  <c r="T6" i="34" l="1"/>
  <c r="J44" i="3"/>
  <c r="J30" i="3"/>
  <c r="G48" i="8" l="1"/>
  <c r="C11" i="21" l="1"/>
  <c r="E11" i="21"/>
  <c r="M16" i="3" l="1"/>
  <c r="M42" i="3" l="1"/>
  <c r="G37" i="4" l="1"/>
  <c r="G38" i="4"/>
  <c r="G39" i="4"/>
  <c r="G40" i="4"/>
  <c r="G36" i="4"/>
  <c r="K50" i="3"/>
  <c r="B50" i="3"/>
  <c r="J47" i="3"/>
  <c r="F7" i="21" l="1"/>
  <c r="M12" i="3" l="1"/>
  <c r="M17" i="3"/>
  <c r="M19" i="3"/>
  <c r="M20" i="3"/>
  <c r="M22" i="3"/>
  <c r="M23" i="3"/>
  <c r="M24" i="3"/>
  <c r="M25" i="3"/>
  <c r="M26" i="3"/>
  <c r="M27" i="3"/>
  <c r="M28" i="3"/>
  <c r="M29" i="3"/>
  <c r="M31" i="3"/>
  <c r="M32" i="3"/>
  <c r="M34" i="3"/>
  <c r="M35" i="3"/>
  <c r="M38" i="3"/>
  <c r="M39" i="3"/>
  <c r="M40" i="3"/>
  <c r="M41" i="3"/>
  <c r="J41" i="3" l="1"/>
  <c r="J48" i="3"/>
  <c r="G50" i="3"/>
  <c r="G30" i="4" l="1"/>
  <c r="G29" i="4"/>
  <c r="G28" i="4"/>
  <c r="G27" i="4"/>
  <c r="G26" i="4"/>
  <c r="G25" i="4"/>
  <c r="J12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J32" i="3"/>
  <c r="J33" i="3"/>
  <c r="J34" i="3"/>
  <c r="J35" i="3"/>
  <c r="J38" i="3"/>
  <c r="J39" i="3"/>
  <c r="J40" i="3"/>
  <c r="J42" i="3"/>
  <c r="J46" i="3"/>
  <c r="J49" i="3"/>
  <c r="H25" i="4"/>
  <c r="H26" i="4"/>
  <c r="H27" i="4"/>
  <c r="H28" i="4"/>
  <c r="H29" i="4"/>
  <c r="H30" i="4"/>
  <c r="H36" i="4"/>
  <c r="H37" i="4"/>
  <c r="H38" i="4"/>
  <c r="H39" i="4"/>
  <c r="H40" i="4"/>
  <c r="I25" i="4"/>
  <c r="I26" i="4"/>
  <c r="I27" i="4"/>
  <c r="I28" i="4"/>
  <c r="I29" i="4"/>
  <c r="I30" i="4"/>
  <c r="I36" i="4"/>
  <c r="I37" i="4"/>
  <c r="I38" i="4"/>
  <c r="I39" i="4"/>
  <c r="I40" i="4"/>
  <c r="I41" i="4"/>
  <c r="F47" i="4"/>
  <c r="G47" i="4" s="1"/>
  <c r="F48" i="4"/>
  <c r="G48" i="4" s="1"/>
  <c r="F49" i="4"/>
  <c r="G49" i="4" s="1"/>
  <c r="F50" i="4"/>
  <c r="G50" i="4" s="1"/>
  <c r="F51" i="4"/>
  <c r="H51" i="4" s="1"/>
  <c r="F52" i="4"/>
  <c r="H52" i="4" s="1"/>
  <c r="B18" i="4"/>
  <c r="B59" i="4" s="1"/>
  <c r="B19" i="4"/>
  <c r="B60" i="4" s="1"/>
  <c r="F43" i="4"/>
  <c r="E43" i="4"/>
  <c r="F42" i="4"/>
  <c r="E42" i="4"/>
  <c r="F32" i="4"/>
  <c r="E32" i="4"/>
  <c r="D32" i="4"/>
  <c r="C32" i="4"/>
  <c r="B32" i="4"/>
  <c r="F31" i="4"/>
  <c r="E31" i="4"/>
  <c r="D31" i="4"/>
  <c r="C31" i="4"/>
  <c r="B31" i="4"/>
  <c r="H43" i="8"/>
  <c r="C29" i="8"/>
  <c r="H38" i="8"/>
  <c r="H44" i="8" s="1"/>
  <c r="C59" i="4" l="1"/>
  <c r="C60" i="4" s="1"/>
  <c r="I38" i="8" s="1"/>
  <c r="G43" i="8"/>
  <c r="G52" i="4"/>
  <c r="C12" i="21"/>
  <c r="C16" i="21" s="1"/>
  <c r="H47" i="4"/>
  <c r="H50" i="4"/>
  <c r="G32" i="4"/>
  <c r="G42" i="4"/>
  <c r="I44" i="8"/>
  <c r="G44" i="8"/>
  <c r="G38" i="8" s="1"/>
  <c r="G43" i="4"/>
  <c r="G51" i="4"/>
  <c r="I42" i="4"/>
  <c r="H31" i="4"/>
  <c r="H48" i="4"/>
  <c r="H42" i="4"/>
  <c r="I31" i="4"/>
  <c r="G31" i="4"/>
  <c r="I43" i="8"/>
  <c r="H49" i="4"/>
  <c r="I37" i="8" l="1"/>
  <c r="B35" i="4"/>
  <c r="C35" i="4" s="1"/>
  <c r="D30" i="21" s="1"/>
  <c r="B34" i="4"/>
  <c r="J31" i="4"/>
  <c r="G53" i="4"/>
  <c r="H53" i="4"/>
  <c r="J42" i="4"/>
  <c r="G37" i="8"/>
  <c r="J44" i="4" l="1"/>
  <c r="K44" i="4" s="1"/>
  <c r="F13" i="21"/>
  <c r="F14" i="21" s="1"/>
  <c r="C30" i="21"/>
  <c r="I53" i="4"/>
  <c r="B16" i="4" s="1"/>
  <c r="D35" i="4"/>
  <c r="C34" i="4"/>
  <c r="B36" i="4"/>
  <c r="D34" i="4"/>
  <c r="C29" i="21"/>
  <c r="C31" i="21" l="1"/>
  <c r="D36" i="4"/>
  <c r="D29" i="21"/>
  <c r="F9" i="21" s="1"/>
  <c r="C36" i="4"/>
  <c r="F17" i="21" l="1"/>
  <c r="F20" i="21" s="1"/>
  <c r="F16" i="21"/>
  <c r="F19" i="21" s="1"/>
  <c r="B44" i="4"/>
  <c r="B43" i="4"/>
  <c r="C39" i="21" s="1"/>
  <c r="D31" i="21"/>
  <c r="C40" i="21" l="1"/>
  <c r="C41" i="21" l="1"/>
  <c r="M11" i="3" l="1"/>
  <c r="Q4" i="34" l="1"/>
  <c r="R4" i="34" s="1"/>
  <c r="I50" i="3" l="1"/>
  <c r="F50" i="3" l="1"/>
  <c r="J36" i="3" l="1"/>
  <c r="M33" i="3" l="1"/>
  <c r="L50" i="3"/>
  <c r="J15" i="3" l="1"/>
  <c r="C50" i="3"/>
  <c r="M15" i="3"/>
  <c r="J43" i="3" l="1"/>
  <c r="J14" i="3" l="1"/>
  <c r="H50" i="3"/>
  <c r="C6" i="21" s="1"/>
  <c r="F8" i="21" s="1"/>
  <c r="J45" i="3" l="1"/>
  <c r="J50" i="3" s="1"/>
  <c r="J52" i="3" s="1"/>
  <c r="E50" i="3"/>
  <c r="C5" i="21" l="1"/>
  <c r="C7" i="21" s="1"/>
  <c r="B15" i="4"/>
  <c r="C15" i="21" l="1"/>
  <c r="C17" i="21" s="1"/>
  <c r="C18" i="21" s="1"/>
  <c r="C21" i="21" s="1"/>
  <c r="B39" i="4"/>
  <c r="B40" i="4"/>
  <c r="C35" i="21" s="1"/>
  <c r="C45" i="21" s="1"/>
  <c r="C50" i="21" s="1"/>
  <c r="C22" i="21" l="1"/>
  <c r="C23" i="21" s="1"/>
  <c r="B48" i="4"/>
  <c r="B52" i="4" s="1"/>
  <c r="C52" i="4" s="1"/>
  <c r="B56" i="4"/>
  <c r="C56" i="4" s="1"/>
  <c r="C34" i="21"/>
  <c r="C44" i="21" s="1"/>
  <c r="C49" i="21" s="1"/>
  <c r="B47" i="4"/>
  <c r="B51" i="4" s="1"/>
  <c r="B55" i="4"/>
  <c r="C55" i="4" s="1"/>
  <c r="C24" i="21" l="1"/>
  <c r="C25" i="21" s="1"/>
  <c r="F38" i="8"/>
  <c r="F44" i="8" s="1"/>
  <c r="C36" i="21"/>
  <c r="C46" i="21" s="1"/>
  <c r="B64" i="4"/>
  <c r="D64" i="4" s="1"/>
  <c r="C51" i="4"/>
  <c r="F37" i="8" s="1"/>
  <c r="B63" i="4"/>
  <c r="D63" i="4" s="1"/>
  <c r="J38" i="8" l="1"/>
  <c r="L38" i="8" s="1"/>
  <c r="J37" i="8"/>
  <c r="L37" i="8" s="1"/>
  <c r="F43" i="8"/>
  <c r="J44" i="8"/>
  <c r="L44" i="8" s="1"/>
  <c r="J43" i="8" l="1"/>
  <c r="L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ingere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Jf arkfane "Pensjon" sortert kun lønnsposter uten pensjon og 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ingere</author>
    <author>Inger Marie Engelskjønn</author>
    <author>Inger Engelskjønn</author>
  </authors>
  <commentList>
    <comment ref="D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ingere:</t>
        </r>
        <r>
          <rPr>
            <sz val="9"/>
            <color indexed="81"/>
            <rFont val="Tahoma"/>
            <family val="2"/>
          </rPr>
          <t xml:space="preserve">
Eks avskrivinger (kapitalkostnad)
Inkl sykeref</t>
        </r>
      </text>
    </comment>
    <comment ref="E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= Sum kode K, L og U
</t>
        </r>
      </text>
    </comment>
    <comment ref="L6" authorId="2" shapeId="0" xr:uid="{00000000-0006-0000-0300-000003000000}">
      <text>
        <r>
          <rPr>
            <b/>
            <sz val="9"/>
            <color indexed="81"/>
            <rFont val="Tahoma"/>
            <family val="2"/>
          </rPr>
          <t>Inger Engelskjønn:</t>
        </r>
        <r>
          <rPr>
            <sz val="9"/>
            <color indexed="81"/>
            <rFont val="Tahoma"/>
            <family val="2"/>
          </rPr>
          <t xml:space="preserve">
Gjelder refusjoner fra staten, bruk av disp.fond, lønnstillskudd, ref Nav og høgskolen</t>
        </r>
      </text>
    </comment>
    <comment ref="B7" authorId="1" shapeId="0" xr:uid="{16D852AB-9087-44B0-95DE-E2686954C1CD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Periodisering av lønn 13.md</t>
        </r>
      </text>
    </comment>
    <comment ref="E44" authorId="1" shapeId="0" xr:uid="{CCB857E2-0ABF-4E0B-8EE1-10F37F22EB21}">
      <text>
        <r>
          <rPr>
            <b/>
            <sz val="9"/>
            <color indexed="81"/>
            <rFont val="Tahoma"/>
            <charset val="1"/>
          </rPr>
          <t>Inger Marie Engelskjønn:</t>
        </r>
        <r>
          <rPr>
            <sz val="9"/>
            <color indexed="81"/>
            <rFont val="Tahoma"/>
            <charset val="1"/>
          </rPr>
          <t xml:space="preserve">
Lærlinger 4.078.564</t>
        </r>
      </text>
    </comment>
    <comment ref="F47" authorId="1" shapeId="0" xr:uid="{C9E2DB3F-D2DD-49C7-BF15-57015319D37E}">
      <text>
        <r>
          <rPr>
            <b/>
            <sz val="9"/>
            <color indexed="81"/>
            <rFont val="Tahoma"/>
            <charset val="1"/>
          </rPr>
          <t>Inger Marie Engelskjønn:</t>
        </r>
        <r>
          <rPr>
            <sz val="9"/>
            <color indexed="81"/>
            <rFont val="Tahoma"/>
            <charset val="1"/>
          </rPr>
          <t xml:space="preserve">
Forsikring bygg kr 288 480,03
Andel Ormestad kr 251 577,49
Delsum 540 057,52
Vaktmester åpen bhg -38 019,92
Sum kr 502 037,60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 Marie Engelskjønn</author>
  </authors>
  <commentList>
    <comment ref="D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Cellene D34 og D35 er kun bruk til simulering og har ingen betydning for beregnigen av satsene. Det er antall hele plasser i cellene C34 og C35 som er med videre.</t>
        </r>
      </text>
    </comment>
  </commentList>
</comments>
</file>

<file path=xl/sharedStrings.xml><?xml version="1.0" encoding="utf-8"?>
<sst xmlns="http://schemas.openxmlformats.org/spreadsheetml/2006/main" count="9640" uniqueCount="398">
  <si>
    <t>Totalt</t>
  </si>
  <si>
    <t>232000 - Kommunale barnehager felles</t>
  </si>
  <si>
    <t>Sum</t>
  </si>
  <si>
    <t>Steg 2</t>
  </si>
  <si>
    <t>Steg 3</t>
  </si>
  <si>
    <t>Steg 5</t>
  </si>
  <si>
    <t>Steg 6</t>
  </si>
  <si>
    <t>0-8 timer</t>
  </si>
  <si>
    <t>9-16 timer</t>
  </si>
  <si>
    <t>17-24 timer</t>
  </si>
  <si>
    <t>25-32 timer</t>
  </si>
  <si>
    <t>33-40 timer</t>
  </si>
  <si>
    <t>41 timer eller mer</t>
  </si>
  <si>
    <t>Oppholdstid</t>
  </si>
  <si>
    <t xml:space="preserve">Sum </t>
  </si>
  <si>
    <t>Ant.barn</t>
  </si>
  <si>
    <t xml:space="preserve">0-8 timer per uke </t>
  </si>
  <si>
    <t xml:space="preserve">9-16 timer per uke </t>
  </si>
  <si>
    <t xml:space="preserve">17-24 timer per uke </t>
  </si>
  <si>
    <t xml:space="preserve">25-32 timer per uke </t>
  </si>
  <si>
    <t xml:space="preserve">33-40 timer per uke </t>
  </si>
  <si>
    <t>Antall uker pr år</t>
  </si>
  <si>
    <t>Antall oppholdstimer pr år</t>
  </si>
  <si>
    <t>0-2 år</t>
  </si>
  <si>
    <t>3-6 år</t>
  </si>
  <si>
    <t>Sum antall timer</t>
  </si>
  <si>
    <t>Heltidsplasser</t>
  </si>
  <si>
    <t>Fordeling av kostnader, små og store barn</t>
  </si>
  <si>
    <t>Driftskostnader, barn 0-2 år</t>
  </si>
  <si>
    <t>Faktor små barn</t>
  </si>
  <si>
    <t>Driftskostnader, barn 3-6 år</t>
  </si>
  <si>
    <t>Fordeling av foreldrebetaling på små og store barn:</t>
  </si>
  <si>
    <t>Foreldrebetaling, barn 0-2 år</t>
  </si>
  <si>
    <t>Offentlig finansiering (Driftskostnader-foreldrebetaling):</t>
  </si>
  <si>
    <t>Offentlig finansiering, barn 0-2 år</t>
  </si>
  <si>
    <t>Offentlig finansiering, barn 3-6 år</t>
  </si>
  <si>
    <t>Foreldrebetaling, barn 3-6 år</t>
  </si>
  <si>
    <t>Fellesadministrative kostnader</t>
  </si>
  <si>
    <t>Tilskuddssats drift, barn 0-2 år</t>
  </si>
  <si>
    <t>Tilksuddssats drift, barn 3-6 år</t>
  </si>
  <si>
    <t>Pr heltidsplass</t>
  </si>
  <si>
    <t>Pr oppholdstime</t>
  </si>
  <si>
    <t xml:space="preserve">Steg 1  </t>
  </si>
  <si>
    <t>Nasjonale tilskuddssatser, kapital</t>
  </si>
  <si>
    <t>Sandefjord</t>
  </si>
  <si>
    <t>Avvik</t>
  </si>
  <si>
    <t>Brutto kostnader i beregningsgr.laget</t>
  </si>
  <si>
    <t>Steg 7</t>
  </si>
  <si>
    <t>Steg 8</t>
  </si>
  <si>
    <t>Steg 9</t>
  </si>
  <si>
    <t>Forskrift om likev.beh</t>
  </si>
  <si>
    <t>Kilde:</t>
  </si>
  <si>
    <t>Kategori</t>
  </si>
  <si>
    <t>Gj.snitt</t>
  </si>
  <si>
    <t>Faktorer for beregning av tilskuddssatser, private barnehager</t>
  </si>
  <si>
    <t>Beregning av tilskuddsatser, Sandefjord kommune</t>
  </si>
  <si>
    <t>Tilskuddssats kapital, barn 0-2 år</t>
  </si>
  <si>
    <t>Tilksuddssats kapital, barn 3-6 år</t>
  </si>
  <si>
    <t>Sjekkes hvert år mot ev. endringer i forskrift</t>
  </si>
  <si>
    <t xml:space="preserve">Dato </t>
  </si>
  <si>
    <t>Filnavn:</t>
  </si>
  <si>
    <t>Ranvik barnehage</t>
  </si>
  <si>
    <t>Ringkollen barnehage</t>
  </si>
  <si>
    <t>Svartås barnehage</t>
  </si>
  <si>
    <t>Haukerød barnehage</t>
  </si>
  <si>
    <t>Trudvang barnehage</t>
  </si>
  <si>
    <t>Krokemoa barnehage</t>
  </si>
  <si>
    <t>Vardenlia barnehage</t>
  </si>
  <si>
    <t>Åsane barnehage</t>
  </si>
  <si>
    <t>Kapteinløkka barnehage</t>
  </si>
  <si>
    <t>Bugården barnehage</t>
  </si>
  <si>
    <t>Modalen barnehage</t>
  </si>
  <si>
    <t>Input, kommunale barnehager</t>
  </si>
  <si>
    <t>Beregning, kommunalt tilskudd</t>
  </si>
  <si>
    <t>Ansvar</t>
  </si>
  <si>
    <t>Forskrift om likev.beh
Sjekkes hvert år mot ev. endringer i forskrift</t>
  </si>
  <si>
    <t>På utsiden av beregningsgrunnlaget 201 og 221</t>
  </si>
  <si>
    <t>Antall timer</t>
  </si>
  <si>
    <t>Beregnede tilskuddssatser</t>
  </si>
  <si>
    <t>Drift og adm</t>
  </si>
  <si>
    <t>Beregnet</t>
  </si>
  <si>
    <t>Nasjonal</t>
  </si>
  <si>
    <t>Kapital</t>
  </si>
  <si>
    <t>Samlet sats for Sandefjord</t>
  </si>
  <si>
    <t>Avvik fra samlet nasjonal sats</t>
  </si>
  <si>
    <t>Barn med spesielle behov f-211</t>
  </si>
  <si>
    <t xml:space="preserve">Steg 4 </t>
  </si>
  <si>
    <t>Sats pr time</t>
  </si>
  <si>
    <t>Sats pr heltidsplass</t>
  </si>
  <si>
    <t>Samlet sats for Sandefjord*</t>
  </si>
  <si>
    <t>* Brukt nasjonal sats for kapitaltilskuddet</t>
  </si>
  <si>
    <t>Tilksuddssats administrasjon, barn 3-6 år</t>
  </si>
  <si>
    <t>Tilskuddssats administrasjon, barn 0-2 år</t>
  </si>
  <si>
    <t xml:space="preserve">Off.finansiering pr heltidsplasser, eksl. adm.tillegg </t>
  </si>
  <si>
    <t>Foreldrebetaling:</t>
  </si>
  <si>
    <t>Kr</t>
  </si>
  <si>
    <t>Hele regnskapet, netto driftsutgifter, funksjon 211</t>
  </si>
  <si>
    <t>Regnskap</t>
  </si>
  <si>
    <t>Deflator</t>
  </si>
  <si>
    <t>Uttrekk pensjon inkl. AGA f201 og 221</t>
  </si>
  <si>
    <t>Steg 11</t>
  </si>
  <si>
    <t>Pensjonspremie, SkP (arbeidsgivers andel)</t>
  </si>
  <si>
    <t>Arbeidsgiveravgift</t>
  </si>
  <si>
    <t>Fordel naturalytelser</t>
  </si>
  <si>
    <t>Lønn i faste stillinger</t>
  </si>
  <si>
    <t>Vikarer i vakanser</t>
  </si>
  <si>
    <t>Sykevikarer</t>
  </si>
  <si>
    <t>Diverse andre tillegg, faste stillinger</t>
  </si>
  <si>
    <t>Vikarer ved lønnet permisjon</t>
  </si>
  <si>
    <t>Lønn til ekstrahjelp</t>
  </si>
  <si>
    <t>Overtidslønn</t>
  </si>
  <si>
    <t>Andre trekkpliktige godtgjørelser</t>
  </si>
  <si>
    <t>Ferievikarer</t>
  </si>
  <si>
    <t>Kvelds- og nattillegg, vikarer</t>
  </si>
  <si>
    <t>Kvelds- og nattillegg, ekstrahjelp</t>
  </si>
  <si>
    <t>Engasjementer</t>
  </si>
  <si>
    <t>Uttrekk pensjon</t>
  </si>
  <si>
    <t>Byggeår</t>
  </si>
  <si>
    <t>Forskjøvet arbeidstid</t>
  </si>
  <si>
    <t>Kontroll</t>
  </si>
  <si>
    <t>Avstemming etter Udir sitt "Regneeksempel - tilskudd til private barnehager 2016" publisert 09.11.2015</t>
  </si>
  <si>
    <t>minus pensjon og arbeidsgiveravgift på pensjonen</t>
  </si>
  <si>
    <t>Gjennomsitt</t>
  </si>
  <si>
    <t>Grunnlag pensjonspåslag</t>
  </si>
  <si>
    <t xml:space="preserve"> + arbeidsgiveravgift 14,1%</t>
  </si>
  <si>
    <t xml:space="preserve"> = Pensjonspåslag inkl arbeidsgiveravgift</t>
  </si>
  <si>
    <t>Administrasjonspåslag blir da:</t>
  </si>
  <si>
    <t>Andel pensjon for små barn</t>
  </si>
  <si>
    <t>Andel pensjon for store barn</t>
  </si>
  <si>
    <t xml:space="preserve"> + pensjonspåslag inkl arbeidsgiveravgift</t>
  </si>
  <si>
    <t xml:space="preserve"> = Grunnlag administrasjonspåslag</t>
  </si>
  <si>
    <t>Pensjonsandel av tilskuddssats små barn</t>
  </si>
  <si>
    <t>Administrasjonspåslag 4,3%</t>
  </si>
  <si>
    <t>Pensjonsandel av tilskuddssats store barn</t>
  </si>
  <si>
    <t>Deflatorjustering</t>
  </si>
  <si>
    <t>Driftsutgifter inkl adm.påslag fordelt på alder</t>
  </si>
  <si>
    <t>Total</t>
  </si>
  <si>
    <t>Kommunal finansiering (Driftskostnader-foreldrebetaling):</t>
  </si>
  <si>
    <t>Kommunal finansiering, barn 0-2 år</t>
  </si>
  <si>
    <t>Kommunal finansiering, barn 3-6 år</t>
  </si>
  <si>
    <t>Sum kommunal finansiering</t>
  </si>
  <si>
    <t>Type</t>
  </si>
  <si>
    <t>1 lønn</t>
  </si>
  <si>
    <t>Lønn til vikarer</t>
  </si>
  <si>
    <t>SkP funksjonsford. premie</t>
  </si>
  <si>
    <t>Honorar</t>
  </si>
  <si>
    <t>Påsalg administrasjonskostander 4,3% av brutto driftsutgifter</t>
  </si>
  <si>
    <t>Ansvar (T)</t>
  </si>
  <si>
    <t>A</t>
  </si>
  <si>
    <t>Helge- og høytidstillegg, faste stillinger</t>
  </si>
  <si>
    <t>Kontofordelte utg F 190 park og idrett</t>
  </si>
  <si>
    <t>Lønn vedlikehold/nybygg og nyanlegg</t>
  </si>
  <si>
    <t>Lønn renhold</t>
  </si>
  <si>
    <t>Små barn</t>
  </si>
  <si>
    <t>Store barn</t>
  </si>
  <si>
    <t>Sats per plass</t>
  </si>
  <si>
    <t>Barnas hus barnehage</t>
  </si>
  <si>
    <t>Elverhøy barnehage</t>
  </si>
  <si>
    <t>Feen barnehage</t>
  </si>
  <si>
    <t>Frydenberg barnehage</t>
  </si>
  <si>
    <t>Gravdal barnehage</t>
  </si>
  <si>
    <t>Høyjord barnehage</t>
  </si>
  <si>
    <t>Kodal barnehage</t>
  </si>
  <si>
    <t>Møyland barnehage</t>
  </si>
  <si>
    <t>Trekanten barnehage</t>
  </si>
  <si>
    <t>Tuften barnehage</t>
  </si>
  <si>
    <t>Vesteråt barnehage</t>
  </si>
  <si>
    <t>231000 - Barnehageadministrasjon</t>
  </si>
  <si>
    <t>231002 - Styrket tilbud barn med spesielle behov</t>
  </si>
  <si>
    <t>232010 - Barnas hus barnehage</t>
  </si>
  <si>
    <t>232020 - Bugården barnehage</t>
  </si>
  <si>
    <t>232030 - Elverhøy barnehage</t>
  </si>
  <si>
    <t>232040 - Feen barnehage</t>
  </si>
  <si>
    <t>232050 - Frydenberg barnehage</t>
  </si>
  <si>
    <t>232060 - Gravdal barnehage</t>
  </si>
  <si>
    <t>232070 - Haukerød barnehage</t>
  </si>
  <si>
    <t>232080 - Høyjord barnehage</t>
  </si>
  <si>
    <t>232090 - Kapteinløkka barnehage</t>
  </si>
  <si>
    <t>232100 - Kodal barnehage</t>
  </si>
  <si>
    <t>232110 - Krokemoa barnehage</t>
  </si>
  <si>
    <t>232120 - Modalen barnehage</t>
  </si>
  <si>
    <t>232130 - Møyland barnehage</t>
  </si>
  <si>
    <t>232140 - Ranvik barnehage</t>
  </si>
  <si>
    <t>232150 - Ringkollen barnehage</t>
  </si>
  <si>
    <t>232160 - Svartås barnehage</t>
  </si>
  <si>
    <t>232170 - Trekanten barnehage</t>
  </si>
  <si>
    <t>232180 - Trudvang barnehage</t>
  </si>
  <si>
    <t>232190 - Tuften barnehage</t>
  </si>
  <si>
    <t>232200 - Vardenlia barnehage</t>
  </si>
  <si>
    <t>232210 - Vesteråt barnehage</t>
  </si>
  <si>
    <t>232220 - Åsane barnehage</t>
  </si>
  <si>
    <t>233000 - Barnehagemyndigheten felles</t>
  </si>
  <si>
    <t>233010 - Pedagogisk tilrettel. barn m/ spes.behov</t>
  </si>
  <si>
    <t>233012 - Pedagogisk tilrettel. flerspråk. barn</t>
  </si>
  <si>
    <t>233014 - Fellestiltak</t>
  </si>
  <si>
    <t>233016 - Ikke-kommunale barnehager</t>
  </si>
  <si>
    <t>Hele regnskapet, brutto driftsutgifter, funksjon 201 (fratr lønnsref)</t>
  </si>
  <si>
    <t>Seksjon 11, 12, 13 og 14, samt 19</t>
  </si>
  <si>
    <t>4-serien - Kultur, fritid</t>
  </si>
  <si>
    <t>3-serien - Helse, sosial og omsorg</t>
  </si>
  <si>
    <t>6-serien - Eiendom</t>
  </si>
  <si>
    <t>5-serien - Miljø og plan</t>
  </si>
  <si>
    <t>Seksjon 89 Fordelte utgifter</t>
  </si>
  <si>
    <t>KKl</t>
  </si>
  <si>
    <t>ANSVAR</t>
  </si>
  <si>
    <t>HKSTED</t>
  </si>
  <si>
    <t>KONTO</t>
  </si>
  <si>
    <t>FUNKSJON</t>
  </si>
  <si>
    <t>PROSJEKT</t>
  </si>
  <si>
    <t>OBJEKT</t>
  </si>
  <si>
    <t>REGNSKAP</t>
  </si>
  <si>
    <t>BUDSJETT gjeld</t>
  </si>
  <si>
    <t>Endring 13. måned lønn</t>
  </si>
  <si>
    <t>Kommunale barnehager felles</t>
  </si>
  <si>
    <t>Diverse andre tillegg, ekstrahjelp</t>
  </si>
  <si>
    <t>Åpen barnehage, Sentrum</t>
  </si>
  <si>
    <t>Åpen bhg. Kroken</t>
  </si>
  <si>
    <t>Kontofordelte utg. F 190 renhold</t>
  </si>
  <si>
    <t>Brutto kostnader fratrukket øvrige inntekter</t>
  </si>
  <si>
    <t xml:space="preserve">Tilskudd drift </t>
  </si>
  <si>
    <t>Øvrige inntekter til fratrekk</t>
  </si>
  <si>
    <t>Steg 9, input</t>
  </si>
  <si>
    <t>Steg 10</t>
  </si>
  <si>
    <t>Foreldrebetaling inkl kostpenger</t>
  </si>
  <si>
    <t>Steg 10, erstattet</t>
  </si>
  <si>
    <t>Foreldre-betaling inkl kost</t>
  </si>
  <si>
    <t>Kostpenger (regnskapstall)</t>
  </si>
  <si>
    <t>(makspris i tilskuddsåret</t>
  </si>
  <si>
    <t>Grunnlag</t>
  </si>
  <si>
    <t>Sum inkl aga</t>
  </si>
  <si>
    <t>Kommunens pensjonsutg. pr heltidsstilling, deflatert</t>
  </si>
  <si>
    <t>201010 - Administrasjon, felles stab</t>
  </si>
  <si>
    <t>232230-2 - Åpen barnehage</t>
  </si>
  <si>
    <t>Kommunens personalkostn per heltidsplass, deflatert</t>
  </si>
  <si>
    <t>Vektet</t>
  </si>
  <si>
    <t>Ansvarstekst</t>
  </si>
  <si>
    <t>Seksjon</t>
  </si>
  <si>
    <t>KONTOTEKST</t>
  </si>
  <si>
    <t>Innt/utg</t>
  </si>
  <si>
    <t>12</t>
  </si>
  <si>
    <t>19</t>
  </si>
  <si>
    <t>23</t>
  </si>
  <si>
    <t>89</t>
  </si>
  <si>
    <t>Hele regnskapet, brutto driftsutgifter, funksjon 221</t>
  </si>
  <si>
    <t>Tilskudd private åpne barnehager</t>
  </si>
  <si>
    <t>Åpningstid på 6 til 15 timer</t>
  </si>
  <si>
    <t>Åpningstid på 16 timer eller mer</t>
  </si>
  <si>
    <t>201</t>
  </si>
  <si>
    <t/>
  </si>
  <si>
    <t>Født 2017-&gt;</t>
  </si>
  <si>
    <t>Født 2016&lt;-</t>
  </si>
  <si>
    <t>Andel åpen barnehage og andre funksjoner</t>
  </si>
  <si>
    <t>11</t>
  </si>
  <si>
    <t>Forsikring gruppeliv</t>
  </si>
  <si>
    <t>Lørdags og søndagstillegg, vikarer</t>
  </si>
  <si>
    <t>Skattepliktig stipend</t>
  </si>
  <si>
    <t>53</t>
  </si>
  <si>
    <t>Byggdrift sentrum</t>
  </si>
  <si>
    <t>Byggdrift Andebu og Stokke</t>
  </si>
  <si>
    <t>Kontofordelte utg. F 190 verksted</t>
  </si>
  <si>
    <t>Født 2018-&gt;</t>
  </si>
  <si>
    <t>Født 2017&lt;-</t>
  </si>
  <si>
    <t>* satsene er ennå ikke offentliggjorte</t>
  </si>
  <si>
    <t>Driftstilskudd private barnehager</t>
  </si>
  <si>
    <t>211000 - Pedagogisk-psykologisk tjeneste</t>
  </si>
  <si>
    <t>Fordel naturalytelser motpost</t>
  </si>
  <si>
    <t>Lørdags- og søndagstillegg, ekstrahjelp</t>
  </si>
  <si>
    <t>Lærlinger</t>
  </si>
  <si>
    <t>Lønn lærlinger</t>
  </si>
  <si>
    <t>10% av grl.lag</t>
  </si>
  <si>
    <t>14,1% av 10% pensjon</t>
  </si>
  <si>
    <t>Nasjonalt (10%)</t>
  </si>
  <si>
    <t>Satser per plass andre private barnehager</t>
  </si>
  <si>
    <t>Pensjonspåslag eks arbeidsgiveravgift (10%)</t>
  </si>
  <si>
    <t>Pr 15.12.2022</t>
  </si>
  <si>
    <t>Påslag pensjon 10% pluss AGA</t>
  </si>
  <si>
    <t>221</t>
  </si>
  <si>
    <t>113013</t>
  </si>
  <si>
    <t>1283</t>
  </si>
  <si>
    <t>1282</t>
  </si>
  <si>
    <t>Gruppelivsforsikring</t>
  </si>
  <si>
    <t>113060</t>
  </si>
  <si>
    <t>121910</t>
  </si>
  <si>
    <t>Periodisering av  lønn til vikarer - 13 mnd lønn mm.</t>
  </si>
  <si>
    <t>Periodisering av pensjonspremie, 13 mnd lønn mm.</t>
  </si>
  <si>
    <t>Periodisering av aga av 13 mnd lønn mm.</t>
  </si>
  <si>
    <t>1627</t>
  </si>
  <si>
    <t>1639</t>
  </si>
  <si>
    <t>1099</t>
  </si>
  <si>
    <t>1550</t>
  </si>
  <si>
    <t>191011</t>
  </si>
  <si>
    <t>201010</t>
  </si>
  <si>
    <t>Administrasjon, felles stab</t>
  </si>
  <si>
    <t>20</t>
  </si>
  <si>
    <t>232000</t>
  </si>
  <si>
    <t>1589</t>
  </si>
  <si>
    <t>1714</t>
  </si>
  <si>
    <t>1553</t>
  </si>
  <si>
    <t>232010</t>
  </si>
  <si>
    <t>232020</t>
  </si>
  <si>
    <t>232030</t>
  </si>
  <si>
    <t>1681</t>
  </si>
  <si>
    <t>1289</t>
  </si>
  <si>
    <t>1278</t>
  </si>
  <si>
    <t>232040</t>
  </si>
  <si>
    <t>232050</t>
  </si>
  <si>
    <t>232060</t>
  </si>
  <si>
    <t>1545</t>
  </si>
  <si>
    <t>232070</t>
  </si>
  <si>
    <t>232080</t>
  </si>
  <si>
    <t>232090</t>
  </si>
  <si>
    <t>232100</t>
  </si>
  <si>
    <t>232110</t>
  </si>
  <si>
    <t>3140</t>
  </si>
  <si>
    <t>232120</t>
  </si>
  <si>
    <t>232130</t>
  </si>
  <si>
    <t>232140</t>
  </si>
  <si>
    <t>232150</t>
  </si>
  <si>
    <t>232160</t>
  </si>
  <si>
    <t>232170</t>
  </si>
  <si>
    <t>232180</t>
  </si>
  <si>
    <t>232190</t>
  </si>
  <si>
    <t>232200</t>
  </si>
  <si>
    <t>232210</t>
  </si>
  <si>
    <t>232220</t>
  </si>
  <si>
    <t>232230</t>
  </si>
  <si>
    <t>232232</t>
  </si>
  <si>
    <t>534040</t>
  </si>
  <si>
    <t>534050</t>
  </si>
  <si>
    <t>891000</t>
  </si>
  <si>
    <t>891015</t>
  </si>
  <si>
    <t>Kontofordelte utg F 190 vei og trafikk</t>
  </si>
  <si>
    <t>891030</t>
  </si>
  <si>
    <t>891040</t>
  </si>
  <si>
    <t>Kontofordelte utg. F 190 vedlikehold</t>
  </si>
  <si>
    <t>891050</t>
  </si>
  <si>
    <t>Til og med 2015</t>
  </si>
  <si>
    <t>2016, 2017 og 2018</t>
  </si>
  <si>
    <t>2019, 2020 og 2021</t>
  </si>
  <si>
    <t>2022, 2023 og 2024</t>
  </si>
  <si>
    <t>Nasjonale satser for kommuner uten kommunale bhg</t>
  </si>
  <si>
    <t>Antall ansatte pr 15/12-2022</t>
  </si>
  <si>
    <t xml:space="preserve"> = grunnlag deflatorjustering 2023</t>
  </si>
  <si>
    <t>Tilskuddsats til driftsutgifter i 2024:</t>
  </si>
  <si>
    <t>Sum ordinære driftsutgifter, pensjonspåslag og adm.påslag</t>
  </si>
  <si>
    <t>Tilskudd 2025 basert på regnskap 2023</t>
  </si>
  <si>
    <t>Pr 15.12.2023</t>
  </si>
  <si>
    <t>222010 - Store Bergan skole</t>
  </si>
  <si>
    <t>223050 - Ravnik ungdomsskole</t>
  </si>
  <si>
    <t>232240 - Ormestad barnehage</t>
  </si>
  <si>
    <t>Regnskap 2023, funksjon 201,211 og 221</t>
  </si>
  <si>
    <t>Årsregnskap 2023 Sandefjord kommune</t>
  </si>
  <si>
    <t>1130</t>
  </si>
  <si>
    <t>1219</t>
  </si>
  <si>
    <t>1910</t>
  </si>
  <si>
    <t>2010</t>
  </si>
  <si>
    <t>222210</t>
  </si>
  <si>
    <t>Store Bergan skole</t>
  </si>
  <si>
    <t>22</t>
  </si>
  <si>
    <t>2222</t>
  </si>
  <si>
    <t>2320</t>
  </si>
  <si>
    <t>1716</t>
  </si>
  <si>
    <t>Kvelds- og nattillegg, faste stillinger</t>
  </si>
  <si>
    <t>1721</t>
  </si>
  <si>
    <t>1725</t>
  </si>
  <si>
    <t>1732</t>
  </si>
  <si>
    <t>1704</t>
  </si>
  <si>
    <t>1085</t>
  </si>
  <si>
    <t>1518</t>
  </si>
  <si>
    <t>2321</t>
  </si>
  <si>
    <t>Ekstrahjelp, renhold</t>
  </si>
  <si>
    <t>2322</t>
  </si>
  <si>
    <t>Lønn støttekontakter</t>
  </si>
  <si>
    <t>1610</t>
  </si>
  <si>
    <t>232240</t>
  </si>
  <si>
    <t>Ormestad barnehage</t>
  </si>
  <si>
    <t>388020</t>
  </si>
  <si>
    <t>Avd. Skogstjerna andebu bo- og behandlingssenter</t>
  </si>
  <si>
    <t>38</t>
  </si>
  <si>
    <t>3880</t>
  </si>
  <si>
    <t>5340</t>
  </si>
  <si>
    <t>8910</t>
  </si>
  <si>
    <t>892000</t>
  </si>
  <si>
    <t>Eiendomsforvaltning - fordeling på funksjon</t>
  </si>
  <si>
    <t>8920</t>
  </si>
  <si>
    <t>Ormestad barnehge</t>
  </si>
  <si>
    <t>Satser 2025</t>
  </si>
  <si>
    <t>2025-sats</t>
  </si>
  <si>
    <t>Brutto driftsutgifter i kommunale barnehager 2023 (F201 og 221)</t>
  </si>
  <si>
    <t>Brutto driftsutgifter 2023</t>
  </si>
  <si>
    <t>Deflatorjustering 2024  4,4%</t>
  </si>
  <si>
    <t xml:space="preserve"> = Deflatorjustert driftsutgifter 2025</t>
  </si>
  <si>
    <t>Deflatorjustering 2025  4,1%</t>
  </si>
  <si>
    <t>Antall ansatte pr 15/12-2023</t>
  </si>
  <si>
    <t xml:space="preserve">Deflatert </t>
  </si>
  <si>
    <t xml:space="preserve"> = brutto driftsutgifter kommunale barnehager 2023</t>
  </si>
  <si>
    <r>
      <t xml:space="preserve">Kapitaltilskudd til private ordinære barnehager </t>
    </r>
    <r>
      <rPr>
        <b/>
        <sz val="11"/>
        <color theme="0" tint="-0.249977111117893"/>
        <rFont val="Times New Roman"/>
        <family val="1"/>
      </rPr>
      <t>*</t>
    </r>
  </si>
  <si>
    <t>Tilskuddsberegning 2025 Vedtak 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</si>
</sst>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kr&quot;* #,##0_);_(&quot;kr&quot;* \(#,##0\);_(&quot;kr&quot;* &quot;-&quot;_);_(@_)"/>
    <numFmt numFmtId="165" formatCode="_(* #,##0_);_(* \(#,##0\);_(* &quot;-&quot;_);_(@_)"/>
    <numFmt numFmtId="166" formatCode="_(&quot;kr&quot;* #,##0.00_);_(&quot;kr&quot;* \(#,##0.00\);_(&quot;kr&quot;* &quot;-&quot;??_);_(@_)"/>
    <numFmt numFmtId="167" formatCode="_(* #,##0.00_);_(* \(#,##0.00\);_(* &quot;-&quot;??_);_(@_)"/>
    <numFmt numFmtId="168" formatCode="_(* #,##0_);_(* \(#,##0\);_(* &quot;-&quot;??_);_(@_)"/>
    <numFmt numFmtId="169" formatCode="0.0\ %"/>
    <numFmt numFmtId="170" formatCode="d/m/yy;@"/>
    <numFmt numFmtId="172" formatCode="_ * #,##0_ ;_ * \-#,##0_ ;_ * &quot;-&quot;?_ ;_ @_ "/>
    <numFmt numFmtId="173" formatCode="0.000"/>
    <numFmt numFmtId="174" formatCode="_(* #,##0.000_);_(* \(#,##0.000\);_(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32"/>
      <name val="Cambria"/>
      <family val="1"/>
    </font>
    <font>
      <b/>
      <sz val="2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0" tint="-0.249977111117893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theme="7" tint="0.3999755851924192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1"/>
      <color theme="0" tint="-0.249977111117893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0" fontId="11" fillId="0" borderId="0"/>
    <xf numFmtId="0" fontId="28" fillId="0" borderId="0"/>
    <xf numFmtId="165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9" fillId="0" borderId="0"/>
    <xf numFmtId="0" fontId="8" fillId="0" borderId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24" fillId="0" borderId="0"/>
    <xf numFmtId="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8" fillId="0" borderId="0"/>
    <xf numFmtId="0" fontId="5" fillId="0" borderId="0"/>
    <xf numFmtId="167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7" fillId="0" borderId="0"/>
    <xf numFmtId="0" fontId="4" fillId="0" borderId="0"/>
    <xf numFmtId="0" fontId="40" fillId="0" borderId="0"/>
    <xf numFmtId="167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6" fillId="0" borderId="0" applyFont="0" applyFill="0" applyBorder="0" applyAlignment="0" applyProtection="0"/>
    <xf numFmtId="0" fontId="16" fillId="0" borderId="0"/>
  </cellStyleXfs>
  <cellXfs count="198">
    <xf numFmtId="0" fontId="0" fillId="0" borderId="0" xfId="0"/>
    <xf numFmtId="3" fontId="0" fillId="0" borderId="0" xfId="0" applyNumberFormat="1"/>
    <xf numFmtId="0" fontId="16" fillId="0" borderId="0" xfId="0" applyFont="1"/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9" fontId="0" fillId="0" borderId="0" xfId="0" applyNumberFormat="1"/>
    <xf numFmtId="0" fontId="19" fillId="2" borderId="1" xfId="0" applyFont="1" applyFill="1" applyBorder="1" applyAlignment="1">
      <alignment horizontal="left"/>
    </xf>
    <xf numFmtId="3" fontId="0" fillId="3" borderId="5" xfId="0" applyNumberFormat="1" applyFill="1" applyBorder="1"/>
    <xf numFmtId="4" fontId="0" fillId="3" borderId="6" xfId="0" applyNumberFormat="1" applyFill="1" applyBorder="1"/>
    <xf numFmtId="0" fontId="16" fillId="2" borderId="9" xfId="0" applyFont="1" applyFill="1" applyBorder="1"/>
    <xf numFmtId="3" fontId="16" fillId="0" borderId="1" xfId="0" applyNumberFormat="1" applyFont="1" applyBorder="1"/>
    <xf numFmtId="0" fontId="0" fillId="4" borderId="0" xfId="0" applyFill="1"/>
    <xf numFmtId="0" fontId="16" fillId="4" borderId="1" xfId="0" applyFont="1" applyFill="1" applyBorder="1"/>
    <xf numFmtId="0" fontId="0" fillId="4" borderId="8" xfId="0" applyFill="1" applyBorder="1"/>
    <xf numFmtId="0" fontId="16" fillId="4" borderId="0" xfId="0" applyFont="1" applyFill="1"/>
    <xf numFmtId="0" fontId="16" fillId="4" borderId="10" xfId="0" applyFont="1" applyFill="1" applyBorder="1"/>
    <xf numFmtId="0" fontId="17" fillId="4" borderId="0" xfId="0" applyFont="1" applyFill="1" applyAlignment="1">
      <alignment horizontal="center"/>
    </xf>
    <xf numFmtId="0" fontId="16" fillId="4" borderId="10" xfId="0" applyFont="1" applyFill="1" applyBorder="1" applyAlignment="1">
      <alignment wrapText="1"/>
    </xf>
    <xf numFmtId="3" fontId="16" fillId="4" borderId="0" xfId="0" applyNumberFormat="1" applyFont="1" applyFill="1" applyAlignment="1">
      <alignment horizontal="right"/>
    </xf>
    <xf numFmtId="3" fontId="16" fillId="4" borderId="0" xfId="0" applyNumberFormat="1" applyFont="1" applyFill="1"/>
    <xf numFmtId="3" fontId="20" fillId="4" borderId="0" xfId="0" applyNumberFormat="1" applyFont="1" applyFill="1"/>
    <xf numFmtId="0" fontId="16" fillId="4" borderId="12" xfId="0" applyFont="1" applyFill="1" applyBorder="1"/>
    <xf numFmtId="0" fontId="16" fillId="4" borderId="7" xfId="0" applyFont="1" applyFill="1" applyBorder="1" applyAlignment="1">
      <alignment wrapText="1"/>
    </xf>
    <xf numFmtId="0" fontId="16" fillId="4" borderId="0" xfId="0" applyFont="1" applyFill="1" applyAlignment="1">
      <alignment horizontal="center" wrapText="1"/>
    </xf>
    <xf numFmtId="3" fontId="16" fillId="4" borderId="7" xfId="0" applyNumberFormat="1" applyFont="1" applyFill="1" applyBorder="1"/>
    <xf numFmtId="0" fontId="16" fillId="4" borderId="14" xfId="0" applyFont="1" applyFill="1" applyBorder="1"/>
    <xf numFmtId="3" fontId="16" fillId="4" borderId="13" xfId="0" applyNumberFormat="1" applyFont="1" applyFill="1" applyBorder="1" applyAlignment="1">
      <alignment horizontal="right"/>
    </xf>
    <xf numFmtId="0" fontId="16" fillId="4" borderId="8" xfId="0" applyFont="1" applyFill="1" applyBorder="1"/>
    <xf numFmtId="3" fontId="0" fillId="4" borderId="8" xfId="0" applyNumberFormat="1" applyFill="1" applyBorder="1"/>
    <xf numFmtId="0" fontId="16" fillId="4" borderId="1" xfId="0" applyFont="1" applyFill="1" applyBorder="1" applyAlignment="1">
      <alignment wrapText="1"/>
    </xf>
    <xf numFmtId="0" fontId="17" fillId="4" borderId="0" xfId="0" applyFont="1" applyFill="1"/>
    <xf numFmtId="0" fontId="17" fillId="4" borderId="1" xfId="0" applyFont="1" applyFill="1" applyBorder="1"/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3" fontId="16" fillId="4" borderId="1" xfId="0" applyNumberFormat="1" applyFont="1" applyFill="1" applyBorder="1"/>
    <xf numFmtId="4" fontId="16" fillId="4" borderId="15" xfId="0" applyNumberFormat="1" applyFont="1" applyFill="1" applyBorder="1"/>
    <xf numFmtId="4" fontId="16" fillId="4" borderId="4" xfId="0" applyNumberFormat="1" applyFont="1" applyFill="1" applyBorder="1"/>
    <xf numFmtId="4" fontId="16" fillId="4" borderId="6" xfId="0" applyNumberFormat="1" applyFont="1" applyFill="1" applyBorder="1"/>
    <xf numFmtId="4" fontId="16" fillId="4" borderId="1" xfId="0" applyNumberFormat="1" applyFont="1" applyFill="1" applyBorder="1"/>
    <xf numFmtId="10" fontId="16" fillId="4" borderId="1" xfId="0" applyNumberFormat="1" applyFont="1" applyFill="1" applyBorder="1"/>
    <xf numFmtId="0" fontId="0" fillId="2" borderId="8" xfId="0" applyFill="1" applyBorder="1"/>
    <xf numFmtId="168" fontId="0" fillId="0" borderId="1" xfId="13" applyNumberFormat="1" applyFont="1" applyBorder="1"/>
    <xf numFmtId="170" fontId="0" fillId="2" borderId="1" xfId="0" applyNumberFormat="1" applyFill="1" applyBorder="1" applyAlignment="1">
      <alignment horizontal="left"/>
    </xf>
    <xf numFmtId="0" fontId="21" fillId="4" borderId="0" xfId="0" applyFont="1" applyFill="1"/>
    <xf numFmtId="0" fontId="17" fillId="4" borderId="16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6" fillId="4" borderId="19" xfId="0" applyFont="1" applyFill="1" applyBorder="1"/>
    <xf numFmtId="0" fontId="22" fillId="4" borderId="0" xfId="0" quotePrefix="1" applyFont="1" applyFill="1"/>
    <xf numFmtId="0" fontId="16" fillId="0" borderId="0" xfId="0" applyFont="1" applyAlignment="1">
      <alignment horizontal="left"/>
    </xf>
    <xf numFmtId="0" fontId="17" fillId="4" borderId="18" xfId="0" applyFont="1" applyFill="1" applyBorder="1"/>
    <xf numFmtId="168" fontId="16" fillId="0" borderId="0" xfId="13" applyNumberFormat="1" applyFont="1"/>
    <xf numFmtId="4" fontId="0" fillId="4" borderId="1" xfId="0" applyNumberFormat="1" applyFill="1" applyBorder="1"/>
    <xf numFmtId="168" fontId="0" fillId="4" borderId="1" xfId="13" applyNumberFormat="1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167" fontId="0" fillId="0" borderId="0" xfId="13" applyFont="1"/>
    <xf numFmtId="0" fontId="0" fillId="0" borderId="0" xfId="0" applyAlignment="1">
      <alignment horizontal="right"/>
    </xf>
    <xf numFmtId="167" fontId="0" fillId="0" borderId="0" xfId="13" applyFont="1" applyAlignment="1">
      <alignment horizontal="right"/>
    </xf>
    <xf numFmtId="168" fontId="17" fillId="4" borderId="1" xfId="13" applyNumberFormat="1" applyFont="1" applyFill="1" applyBorder="1"/>
    <xf numFmtId="3" fontId="0" fillId="0" borderId="4" xfId="0" applyNumberFormat="1" applyBorder="1"/>
    <xf numFmtId="168" fontId="0" fillId="0" borderId="0" xfId="13" applyNumberFormat="1" applyFont="1"/>
    <xf numFmtId="0" fontId="16" fillId="4" borderId="0" xfId="0" applyFont="1" applyFill="1" applyAlignment="1">
      <alignment horizontal="right"/>
    </xf>
    <xf numFmtId="168" fontId="0" fillId="2" borderId="3" xfId="13" applyNumberFormat="1" applyFont="1" applyFill="1" applyBorder="1"/>
    <xf numFmtId="168" fontId="0" fillId="2" borderId="1" xfId="13" applyNumberFormat="1" applyFont="1" applyFill="1" applyBorder="1"/>
    <xf numFmtId="168" fontId="0" fillId="0" borderId="3" xfId="13" applyNumberFormat="1" applyFont="1" applyBorder="1"/>
    <xf numFmtId="168" fontId="0" fillId="0" borderId="4" xfId="13" applyNumberFormat="1" applyFont="1" applyBorder="1"/>
    <xf numFmtId="168" fontId="16" fillId="0" borderId="1" xfId="13" applyNumberFormat="1" applyFont="1" applyFill="1" applyBorder="1"/>
    <xf numFmtId="0" fontId="17" fillId="0" borderId="0" xfId="0" applyFont="1"/>
    <xf numFmtId="168" fontId="0" fillId="0" borderId="0" xfId="13" applyNumberFormat="1" applyFont="1" applyBorder="1"/>
    <xf numFmtId="168" fontId="0" fillId="0" borderId="0" xfId="13" applyNumberFormat="1" applyFont="1" applyFill="1" applyBorder="1"/>
    <xf numFmtId="0" fontId="0" fillId="4" borderId="16" xfId="0" applyFill="1" applyBorder="1"/>
    <xf numFmtId="0" fontId="0" fillId="4" borderId="1" xfId="0" applyFill="1" applyBorder="1"/>
    <xf numFmtId="0" fontId="25" fillId="4" borderId="18" xfId="0" applyFont="1" applyFill="1" applyBorder="1"/>
    <xf numFmtId="169" fontId="0" fillId="2" borderId="8" xfId="0" applyNumberFormat="1" applyFill="1" applyBorder="1"/>
    <xf numFmtId="0" fontId="16" fillId="7" borderId="11" xfId="0" applyFont="1" applyFill="1" applyBorder="1"/>
    <xf numFmtId="0" fontId="30" fillId="0" borderId="0" xfId="0" applyFont="1"/>
    <xf numFmtId="168" fontId="16" fillId="0" borderId="0" xfId="13" applyNumberFormat="1" applyFont="1" applyFill="1" applyBorder="1"/>
    <xf numFmtId="0" fontId="16" fillId="0" borderId="1" xfId="0" applyFont="1" applyBorder="1" applyAlignment="1">
      <alignment horizontal="left"/>
    </xf>
    <xf numFmtId="3" fontId="0" fillId="0" borderId="1" xfId="0" applyNumberFormat="1" applyBorder="1"/>
    <xf numFmtId="168" fontId="0" fillId="0" borderId="1" xfId="13" applyNumberFormat="1" applyFont="1" applyFill="1" applyBorder="1"/>
    <xf numFmtId="172" fontId="0" fillId="0" borderId="1" xfId="0" applyNumberFormat="1" applyBorder="1"/>
    <xf numFmtId="168" fontId="0" fillId="0" borderId="3" xfId="13" applyNumberFormat="1" applyFont="1" applyFill="1" applyBorder="1"/>
    <xf numFmtId="168" fontId="0" fillId="0" borderId="2" xfId="13" applyNumberFormat="1" applyFont="1" applyFill="1" applyBorder="1"/>
    <xf numFmtId="0" fontId="16" fillId="5" borderId="0" xfId="0" applyFont="1" applyFill="1"/>
    <xf numFmtId="2" fontId="16" fillId="5" borderId="0" xfId="0" applyNumberFormat="1" applyFont="1" applyFill="1"/>
    <xf numFmtId="168" fontId="16" fillId="5" borderId="0" xfId="0" applyNumberFormat="1" applyFont="1" applyFill="1"/>
    <xf numFmtId="167" fontId="31" fillId="0" borderId="0" xfId="13" applyFont="1" applyAlignment="1">
      <alignment horizontal="right"/>
    </xf>
    <xf numFmtId="168" fontId="17" fillId="4" borderId="1" xfId="0" applyNumberFormat="1" applyFont="1" applyFill="1" applyBorder="1"/>
    <xf numFmtId="168" fontId="0" fillId="0" borderId="0" xfId="0" applyNumberFormat="1"/>
    <xf numFmtId="9" fontId="0" fillId="0" borderId="0" xfId="12" applyFont="1"/>
    <xf numFmtId="0" fontId="29" fillId="8" borderId="0" xfId="0" applyFont="1" applyFill="1"/>
    <xf numFmtId="0" fontId="29" fillId="0" borderId="0" xfId="0" applyFont="1"/>
    <xf numFmtId="49" fontId="0" fillId="0" borderId="0" xfId="0" applyNumberFormat="1" applyAlignment="1">
      <alignment horizontal="right"/>
    </xf>
    <xf numFmtId="4" fontId="0" fillId="0" borderId="0" xfId="0" applyNumberFormat="1"/>
    <xf numFmtId="167" fontId="31" fillId="0" borderId="0" xfId="13" applyFont="1" applyFill="1" applyAlignment="1">
      <alignment horizontal="right"/>
    </xf>
    <xf numFmtId="3" fontId="0" fillId="0" borderId="8" xfId="0" applyNumberFormat="1" applyBorder="1"/>
    <xf numFmtId="4" fontId="0" fillId="0" borderId="8" xfId="0" applyNumberFormat="1" applyBorder="1"/>
    <xf numFmtId="4" fontId="0" fillId="9" borderId="1" xfId="13" applyNumberFormat="1" applyFont="1" applyFill="1" applyBorder="1"/>
    <xf numFmtId="167" fontId="36" fillId="0" borderId="0" xfId="13" applyFont="1"/>
    <xf numFmtId="3" fontId="16" fillId="5" borderId="0" xfId="0" applyNumberFormat="1" applyFont="1" applyFill="1"/>
    <xf numFmtId="0" fontId="0" fillId="5" borderId="1" xfId="0" applyFill="1" applyBorder="1"/>
    <xf numFmtId="3" fontId="0" fillId="0" borderId="7" xfId="0" applyNumberFormat="1" applyBorder="1"/>
    <xf numFmtId="0" fontId="17" fillId="4" borderId="2" xfId="0" applyFont="1" applyFill="1" applyBorder="1" applyAlignment="1">
      <alignment horizontal="center"/>
    </xf>
    <xf numFmtId="167" fontId="36" fillId="0" borderId="0" xfId="0" applyNumberFormat="1" applyFont="1"/>
    <xf numFmtId="168" fontId="39" fillId="4" borderId="0" xfId="13" applyNumberFormat="1" applyFont="1" applyFill="1"/>
    <xf numFmtId="168" fontId="39" fillId="4" borderId="0" xfId="13" applyNumberFormat="1" applyFont="1" applyFill="1" applyAlignment="1">
      <alignment horizontal="center"/>
    </xf>
    <xf numFmtId="168" fontId="39" fillId="4" borderId="0" xfId="13" applyNumberFormat="1" applyFont="1" applyFill="1" applyAlignment="1">
      <alignment horizontal="center" wrapText="1"/>
    </xf>
    <xf numFmtId="168" fontId="39" fillId="4" borderId="0" xfId="13" applyNumberFormat="1" applyFont="1" applyFill="1" applyAlignment="1">
      <alignment horizontal="right"/>
    </xf>
    <xf numFmtId="43" fontId="0" fillId="0" borderId="0" xfId="0" applyNumberFormat="1"/>
    <xf numFmtId="4" fontId="16" fillId="0" borderId="0" xfId="0" quotePrefix="1" applyNumberFormat="1" applyFont="1"/>
    <xf numFmtId="0" fontId="15" fillId="10" borderId="0" xfId="14" applyFill="1"/>
    <xf numFmtId="0" fontId="29" fillId="10" borderId="0" xfId="14" applyFont="1" applyFill="1"/>
    <xf numFmtId="0" fontId="33" fillId="10" borderId="0" xfId="14" applyFont="1" applyFill="1"/>
    <xf numFmtId="0" fontId="33" fillId="10" borderId="1" xfId="14" applyFont="1" applyFill="1" applyBorder="1"/>
    <xf numFmtId="0" fontId="35" fillId="10" borderId="1" xfId="14" applyFont="1" applyFill="1" applyBorder="1" applyAlignment="1">
      <alignment horizontal="center"/>
    </xf>
    <xf numFmtId="3" fontId="33" fillId="10" borderId="0" xfId="14" applyNumberFormat="1" applyFont="1" applyFill="1"/>
    <xf numFmtId="0" fontId="15" fillId="10" borderId="0" xfId="14" applyFill="1" applyAlignment="1">
      <alignment wrapText="1"/>
    </xf>
    <xf numFmtId="3" fontId="33" fillId="0" borderId="1" xfId="14" applyNumberFormat="1" applyFont="1" applyBorder="1"/>
    <xf numFmtId="167" fontId="0" fillId="0" borderId="0" xfId="13" applyFont="1" applyFill="1"/>
    <xf numFmtId="169" fontId="31" fillId="0" borderId="0" xfId="12" applyNumberFormat="1" applyFont="1" applyFill="1" applyAlignment="1">
      <alignment horizontal="center" vertical="center"/>
    </xf>
    <xf numFmtId="2" fontId="16" fillId="4" borderId="0" xfId="13" applyNumberFormat="1" applyFont="1" applyFill="1"/>
    <xf numFmtId="2" fontId="17" fillId="4" borderId="0" xfId="13" applyNumberFormat="1" applyFont="1" applyFill="1" applyAlignment="1">
      <alignment horizontal="center"/>
    </xf>
    <xf numFmtId="2" fontId="16" fillId="4" borderId="0" xfId="13" applyNumberFormat="1" applyFont="1" applyFill="1" applyAlignment="1">
      <alignment horizontal="center" wrapText="1"/>
    </xf>
    <xf numFmtId="2" fontId="16" fillId="4" borderId="0" xfId="13" applyNumberFormat="1" applyFont="1" applyFill="1" applyAlignment="1">
      <alignment horizontal="right"/>
    </xf>
    <xf numFmtId="2" fontId="16" fillId="4" borderId="0" xfId="0" applyNumberFormat="1" applyFont="1" applyFill="1"/>
    <xf numFmtId="2" fontId="17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 wrapText="1"/>
    </xf>
    <xf numFmtId="2" fontId="16" fillId="4" borderId="0" xfId="0" applyNumberFormat="1" applyFont="1" applyFill="1" applyAlignment="1">
      <alignment horizontal="right"/>
    </xf>
    <xf numFmtId="173" fontId="15" fillId="10" borderId="0" xfId="14" applyNumberFormat="1" applyFill="1"/>
    <xf numFmtId="0" fontId="3" fillId="10" borderId="0" xfId="14" applyFont="1" applyFill="1"/>
    <xf numFmtId="49" fontId="41" fillId="0" borderId="0" xfId="0" applyNumberFormat="1" applyFont="1" applyAlignment="1">
      <alignment horizontal="left"/>
    </xf>
    <xf numFmtId="0" fontId="41" fillId="0" borderId="0" xfId="0" applyFont="1"/>
    <xf numFmtId="167" fontId="41" fillId="0" borderId="0" xfId="13" applyFont="1" applyFill="1" applyAlignment="1">
      <alignment horizontal="right"/>
    </xf>
    <xf numFmtId="49" fontId="41" fillId="5" borderId="0" xfId="0" applyNumberFormat="1" applyFont="1" applyFill="1" applyAlignment="1">
      <alignment horizontal="left"/>
    </xf>
    <xf numFmtId="168" fontId="0" fillId="0" borderId="4" xfId="13" applyNumberFormat="1" applyFont="1" applyFill="1" applyBorder="1"/>
    <xf numFmtId="2" fontId="43" fillId="4" borderId="0" xfId="13" applyNumberFormat="1" applyFont="1" applyFill="1"/>
    <xf numFmtId="2" fontId="43" fillId="4" borderId="0" xfId="0" applyNumberFormat="1" applyFont="1" applyFill="1"/>
    <xf numFmtId="3" fontId="16" fillId="0" borderId="7" xfId="0" applyNumberFormat="1" applyFont="1" applyBorder="1"/>
    <xf numFmtId="0" fontId="44" fillId="4" borderId="0" xfId="0" applyFont="1" applyFill="1"/>
    <xf numFmtId="3" fontId="44" fillId="4" borderId="0" xfId="0" applyNumberFormat="1" applyFont="1" applyFill="1" applyAlignment="1">
      <alignment horizontal="right"/>
    </xf>
    <xf numFmtId="3" fontId="44" fillId="4" borderId="0" xfId="0" applyNumberFormat="1" applyFont="1" applyFill="1"/>
    <xf numFmtId="174" fontId="0" fillId="4" borderId="1" xfId="13" applyNumberFormat="1" applyFont="1" applyFill="1" applyBorder="1"/>
    <xf numFmtId="168" fontId="15" fillId="10" borderId="0" xfId="14" applyNumberFormat="1" applyFill="1"/>
    <xf numFmtId="3" fontId="0" fillId="0" borderId="7" xfId="0" applyNumberFormat="1" applyBorder="1" applyAlignment="1">
      <alignment horizontal="right"/>
    </xf>
    <xf numFmtId="3" fontId="16" fillId="0" borderId="7" xfId="0" applyNumberFormat="1" applyFont="1" applyBorder="1" applyAlignment="1">
      <alignment horizontal="right"/>
    </xf>
    <xf numFmtId="3" fontId="45" fillId="0" borderId="7" xfId="0" applyNumberFormat="1" applyFont="1" applyBorder="1"/>
    <xf numFmtId="0" fontId="32" fillId="10" borderId="9" xfId="26" applyFill="1" applyBorder="1"/>
    <xf numFmtId="0" fontId="41" fillId="0" borderId="0" xfId="0" applyFont="1" applyAlignment="1">
      <alignment horizontal="right"/>
    </xf>
    <xf numFmtId="2" fontId="41" fillId="0" borderId="0" xfId="0" applyNumberFormat="1" applyFont="1" applyAlignment="1">
      <alignment horizontal="left"/>
    </xf>
    <xf numFmtId="0" fontId="41" fillId="0" borderId="0" xfId="48" applyNumberFormat="1" applyFont="1" applyAlignment="1">
      <alignment horizontal="left"/>
    </xf>
    <xf numFmtId="2" fontId="41" fillId="0" borderId="0" xfId="0" applyNumberFormat="1" applyFont="1" applyAlignment="1">
      <alignment horizontal="right"/>
    </xf>
    <xf numFmtId="2" fontId="41" fillId="6" borderId="0" xfId="0" applyNumberFormat="1" applyFont="1" applyFill="1" applyAlignment="1">
      <alignment horizontal="right"/>
    </xf>
    <xf numFmtId="2" fontId="41" fillId="11" borderId="0" xfId="0" applyNumberFormat="1" applyFont="1" applyFill="1" applyAlignment="1">
      <alignment horizontal="right"/>
    </xf>
    <xf numFmtId="49" fontId="41" fillId="6" borderId="0" xfId="0" applyNumberFormat="1" applyFont="1" applyFill="1" applyAlignment="1">
      <alignment horizontal="left"/>
    </xf>
    <xf numFmtId="2" fontId="41" fillId="9" borderId="0" xfId="0" applyNumberFormat="1" applyFont="1" applyFill="1" applyAlignment="1">
      <alignment horizontal="right"/>
    </xf>
    <xf numFmtId="49" fontId="41" fillId="13" borderId="0" xfId="0" applyNumberFormat="1" applyFont="1" applyFill="1" applyAlignment="1">
      <alignment horizontal="left"/>
    </xf>
    <xf numFmtId="4" fontId="0" fillId="5" borderId="1" xfId="13" applyNumberFormat="1" applyFont="1" applyFill="1" applyBorder="1"/>
    <xf numFmtId="3" fontId="0" fillId="0" borderId="10" xfId="0" applyNumberFormat="1" applyBorder="1"/>
    <xf numFmtId="3" fontId="33" fillId="12" borderId="1" xfId="14" applyNumberFormat="1" applyFont="1" applyFill="1" applyBorder="1"/>
    <xf numFmtId="167" fontId="0" fillId="6" borderId="0" xfId="13" applyFont="1" applyFill="1"/>
    <xf numFmtId="1" fontId="0" fillId="0" borderId="1" xfId="13" applyNumberFormat="1" applyFont="1" applyFill="1" applyBorder="1"/>
    <xf numFmtId="0" fontId="49" fillId="10" borderId="1" xfId="14" applyFont="1" applyFill="1" applyBorder="1" applyAlignment="1">
      <alignment horizontal="center"/>
    </xf>
    <xf numFmtId="3" fontId="50" fillId="0" borderId="1" xfId="14" applyNumberFormat="1" applyFont="1" applyBorder="1"/>
    <xf numFmtId="3" fontId="50" fillId="10" borderId="1" xfId="14" applyNumberFormat="1" applyFont="1" applyFill="1" applyBorder="1"/>
    <xf numFmtId="0" fontId="48" fillId="10" borderId="1" xfId="14" applyFont="1" applyFill="1" applyBorder="1" applyAlignment="1">
      <alignment horizontal="center"/>
    </xf>
    <xf numFmtId="0" fontId="48" fillId="10" borderId="0" xfId="14" applyFont="1" applyFill="1"/>
    <xf numFmtId="0" fontId="49" fillId="10" borderId="0" xfId="14" applyFont="1" applyFill="1"/>
    <xf numFmtId="0" fontId="16" fillId="4" borderId="16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4" borderId="23" xfId="0" applyFont="1" applyFill="1" applyBorder="1" applyAlignment="1">
      <alignment horizontal="center" wrapText="1"/>
    </xf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0" fillId="4" borderId="1" xfId="13" applyNumberFormat="1" applyFont="1" applyFill="1" applyBorder="1" applyAlignment="1">
      <alignment horizontal="center"/>
    </xf>
    <xf numFmtId="3" fontId="0" fillId="4" borderId="1" xfId="13" applyNumberFormat="1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3" fillId="10" borderId="2" xfId="14" applyFont="1" applyFill="1" applyBorder="1"/>
    <xf numFmtId="0" fontId="33" fillId="10" borderId="8" xfId="14" applyFont="1" applyFill="1" applyBorder="1"/>
    <xf numFmtId="0" fontId="34" fillId="10" borderId="1" xfId="14" applyFont="1" applyFill="1" applyBorder="1"/>
    <xf numFmtId="0" fontId="0" fillId="10" borderId="1" xfId="0" applyFill="1" applyBorder="1"/>
    <xf numFmtId="0" fontId="34" fillId="10" borderId="2" xfId="14" applyFont="1" applyFill="1" applyBorder="1"/>
    <xf numFmtId="0" fontId="34" fillId="10" borderId="9" xfId="14" applyFont="1" applyFill="1" applyBorder="1"/>
    <xf numFmtId="0" fontId="34" fillId="10" borderId="8" xfId="14" applyFont="1" applyFill="1" applyBorder="1"/>
  </cellXfs>
  <cellStyles count="55">
    <cellStyle name="Comma" xfId="35" xr:uid="{00000000-0005-0000-0000-000000000000}"/>
    <cellStyle name="Comma [0]" xfId="36" xr:uid="{00000000-0005-0000-0000-000001000000}"/>
    <cellStyle name="Currency" xfId="33" xr:uid="{00000000-0005-0000-0000-000002000000}"/>
    <cellStyle name="Currency [0]" xfId="34" xr:uid="{00000000-0005-0000-0000-000003000000}"/>
    <cellStyle name="Hyperkobling" xfId="26" builtinId="8"/>
    <cellStyle name="Komma" xfId="13" builtinId="3"/>
    <cellStyle name="Komma 2" xfId="40" xr:uid="{00000000-0005-0000-0000-000007000000}"/>
    <cellStyle name="Komma 2 2" xfId="50" xr:uid="{2DCB9286-B0BC-41F4-A2C6-9659E800A439}"/>
    <cellStyle name="Komma 3" xfId="46" xr:uid="{892D5B7D-CF78-4637-97CE-8E89FFDC70FD}"/>
    <cellStyle name="Komma 4" xfId="44" xr:uid="{1EDC7CE6-E15B-4294-88BF-D8D2B169759D}"/>
    <cellStyle name="Komma 5" xfId="48" xr:uid="{D6F22DE8-DE30-4F4C-8D6B-56D9F1D41CEE}"/>
    <cellStyle name="Normal" xfId="0" builtinId="0"/>
    <cellStyle name="Normal 10" xfId="24" xr:uid="{00000000-0005-0000-0000-000009000000}"/>
    <cellStyle name="Normal 10 2" xfId="25" xr:uid="{00000000-0005-0000-0000-00000A000000}"/>
    <cellStyle name="Normal 10_Akontoutbet" xfId="27" xr:uid="{00000000-0005-0000-0000-00000B000000}"/>
    <cellStyle name="Normal 11" xfId="30" xr:uid="{00000000-0005-0000-0000-00000C000000}"/>
    <cellStyle name="Normal 12" xfId="31" xr:uid="{00000000-0005-0000-0000-00000D000000}"/>
    <cellStyle name="Normal 13" xfId="38" xr:uid="{00000000-0005-0000-0000-00000E000000}"/>
    <cellStyle name="Normal 13 2" xfId="52" xr:uid="{A3D0CB70-56D8-4196-83AB-87A7FAD683AA}"/>
    <cellStyle name="Normal 14" xfId="42" xr:uid="{00000000-0005-0000-0000-00000F000000}"/>
    <cellStyle name="Normal 15" xfId="45" xr:uid="{4390AC53-F6E0-4ED5-9C24-DBF49663ED31}"/>
    <cellStyle name="Normal 16" xfId="47" xr:uid="{EFAB2F33-CF13-4A10-BFFC-64BBE6637703}"/>
    <cellStyle name="Normal 17" xfId="51" xr:uid="{52219952-6CAE-4657-9F48-38DD9B1688DF}"/>
    <cellStyle name="Normal 2" xfId="1" xr:uid="{00000000-0005-0000-0000-000010000000}"/>
    <cellStyle name="Normal 2 2" xfId="2" xr:uid="{00000000-0005-0000-0000-000011000000}"/>
    <cellStyle name="Normal 2 3" xfId="3" xr:uid="{00000000-0005-0000-0000-000012000000}"/>
    <cellStyle name="Normal 2 4" xfId="4" xr:uid="{00000000-0005-0000-0000-000013000000}"/>
    <cellStyle name="Normal 2 5" xfId="5" xr:uid="{00000000-0005-0000-0000-000014000000}"/>
    <cellStyle name="Normal 2 6" xfId="43" xr:uid="{577C30E3-DBFB-4616-B2EF-26D7D655E055}"/>
    <cellStyle name="Normal 2 7" xfId="49" xr:uid="{F3985E4D-982C-4F1B-9C96-CCBF3AC4A7F5}"/>
    <cellStyle name="Normal 3" xfId="14" xr:uid="{00000000-0005-0000-0000-000015000000}"/>
    <cellStyle name="Normal 3 2" xfId="6" xr:uid="{00000000-0005-0000-0000-000016000000}"/>
    <cellStyle name="Normal 3 2 2" xfId="37" xr:uid="{00000000-0005-0000-0000-000017000000}"/>
    <cellStyle name="Normal 3 3" xfId="7" xr:uid="{00000000-0005-0000-0000-000018000000}"/>
    <cellStyle name="Normal 3 4" xfId="8" xr:uid="{00000000-0005-0000-0000-000019000000}"/>
    <cellStyle name="Normal 3 5" xfId="9" xr:uid="{00000000-0005-0000-0000-00001A000000}"/>
    <cellStyle name="Normal 3_Akontoutbet" xfId="28" xr:uid="{00000000-0005-0000-0000-00001B000000}"/>
    <cellStyle name="Normal 4" xfId="10" xr:uid="{00000000-0005-0000-0000-00001C000000}"/>
    <cellStyle name="Normal 5" xfId="11" xr:uid="{00000000-0005-0000-0000-00001D000000}"/>
    <cellStyle name="Normal 5 2" xfId="41" xr:uid="{00000000-0005-0000-0000-00001E000000}"/>
    <cellStyle name="Normal 5 2 2" xfId="54" xr:uid="{7FEE3414-21AA-4623-B2AE-F910CBF8472F}"/>
    <cellStyle name="Normal 6" xfId="15" xr:uid="{00000000-0005-0000-0000-00001F000000}"/>
    <cellStyle name="Normal 7" xfId="16" xr:uid="{00000000-0005-0000-0000-000020000000}"/>
    <cellStyle name="Normal 8" xfId="17" xr:uid="{00000000-0005-0000-0000-000021000000}"/>
    <cellStyle name="Normal 8 2" xfId="20" xr:uid="{00000000-0005-0000-0000-000022000000}"/>
    <cellStyle name="Normal 8_Akontoutbet" xfId="29" xr:uid="{00000000-0005-0000-0000-000023000000}"/>
    <cellStyle name="Normal 9" xfId="19" xr:uid="{00000000-0005-0000-0000-000024000000}"/>
    <cellStyle name="Percent" xfId="32" xr:uid="{00000000-0005-0000-0000-000028000000}"/>
    <cellStyle name="Prosent" xfId="12" builtinId="5"/>
    <cellStyle name="Prosent 2" xfId="22" xr:uid="{00000000-0005-0000-0000-00002A000000}"/>
    <cellStyle name="Tusenskille [0] 2" xfId="21" xr:uid="{00000000-0005-0000-0000-00002B000000}"/>
    <cellStyle name="Tusenskille 2" xfId="18" xr:uid="{00000000-0005-0000-0000-00002C000000}"/>
    <cellStyle name="Tusenskille 2 2" xfId="23" xr:uid="{00000000-0005-0000-0000-00002D000000}"/>
    <cellStyle name="Tusenskille 3" xfId="39" xr:uid="{00000000-0005-0000-0000-00002E000000}"/>
    <cellStyle name="Tusenskille 3 2" xfId="53" xr:uid="{B51BAD65-B9C7-414D-91C3-79F721070828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FF99"/>
      <color rgb="FFFFFFFF"/>
      <color rgb="FFF4C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Input, kommunale barnehager'!A1"/><Relationship Id="rId7" Type="http://schemas.openxmlformats.org/officeDocument/2006/relationships/hyperlink" Target="#Pensjon!A1"/><Relationship Id="rId2" Type="http://schemas.openxmlformats.org/officeDocument/2006/relationships/image" Target="../media/image1.png"/><Relationship Id="rId1" Type="http://schemas.openxmlformats.org/officeDocument/2006/relationships/hyperlink" Target="https://upload.wikimedia.org/wikipedia/commons/6/65/Sandefjord_komm_2017.svg" TargetMode="External"/><Relationship Id="rId6" Type="http://schemas.openxmlformats.org/officeDocument/2006/relationships/hyperlink" Target="#Satser!A1"/><Relationship Id="rId5" Type="http://schemas.openxmlformats.org/officeDocument/2006/relationships/hyperlink" Target="#Udir!A1"/><Relationship Id="rId4" Type="http://schemas.openxmlformats.org/officeDocument/2006/relationships/hyperlink" Target="#'Beregning, komm.tilskudd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276000</xdr:colOff>
      <xdr:row>5</xdr:row>
      <xdr:rowOff>73358</xdr:rowOff>
    </xdr:to>
    <xdr:sp macro="[0]!Macro2" textlink="">
      <xdr:nvSpPr>
        <xdr:cNvPr id="3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96500" y="190500"/>
          <a:ext cx="1800000" cy="72105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76200</xdr:rowOff>
    </xdr:from>
    <xdr:to>
      <xdr:col>13</xdr:col>
      <xdr:colOff>438150</xdr:colOff>
      <xdr:row>16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3400" y="561975"/>
          <a:ext cx="9191625" cy="20859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nb-NO" sz="2000">
            <a:latin typeface="Arial" pitchFamily="34" charset="0"/>
            <a:cs typeface="Arial" pitchFamily="34" charset="0"/>
          </a:endParaRPr>
        </a:p>
        <a:p>
          <a:pPr lvl="0" algn="ctr"/>
          <a:r>
            <a:rPr lang="nb-NO" sz="2000">
              <a:latin typeface="Arial" pitchFamily="34" charset="0"/>
              <a:cs typeface="Arial" pitchFamily="34" charset="0"/>
            </a:rPr>
            <a:t>Beregningsmodell</a:t>
          </a:r>
          <a:r>
            <a:rPr lang="nb-NO" sz="2000" baseline="0">
              <a:latin typeface="Arial" pitchFamily="34" charset="0"/>
              <a:cs typeface="Arial" pitchFamily="34" charset="0"/>
            </a:rPr>
            <a:t> for likeverdig behandling, </a:t>
          </a:r>
          <a:br>
            <a:rPr lang="nb-NO" sz="2000" baseline="0">
              <a:latin typeface="Arial" pitchFamily="34" charset="0"/>
              <a:cs typeface="Arial" pitchFamily="34" charset="0"/>
            </a:rPr>
          </a:br>
          <a:r>
            <a:rPr lang="nb-NO" sz="2000" baseline="0">
              <a:latin typeface="Arial" pitchFamily="34" charset="0"/>
              <a:cs typeface="Arial" pitchFamily="34" charset="0"/>
            </a:rPr>
            <a:t>tildeling av offentlig tilskudd til private</a:t>
          </a:r>
          <a:br>
            <a:rPr lang="nb-NO" sz="2000" baseline="0">
              <a:latin typeface="Arial" pitchFamily="34" charset="0"/>
              <a:cs typeface="Arial" pitchFamily="34" charset="0"/>
            </a:rPr>
          </a:br>
          <a:r>
            <a:rPr lang="nb-NO" sz="2000" baseline="0">
              <a:latin typeface="Arial" pitchFamily="34" charset="0"/>
              <a:cs typeface="Arial" pitchFamily="34" charset="0"/>
            </a:rPr>
            <a:t>barnehager i Sandefjord kommune</a:t>
          </a:r>
        </a:p>
        <a:p>
          <a:endParaRPr lang="nb-NO" sz="1100"/>
        </a:p>
      </xdr:txBody>
    </xdr:sp>
    <xdr:clientData/>
  </xdr:twoCellAnchor>
  <xdr:twoCellAnchor editAs="oneCell">
    <xdr:from>
      <xdr:col>11</xdr:col>
      <xdr:colOff>178593</xdr:colOff>
      <xdr:row>5</xdr:row>
      <xdr:rowOff>46586</xdr:rowOff>
    </xdr:from>
    <xdr:to>
      <xdr:col>12</xdr:col>
      <xdr:colOff>712469</xdr:colOff>
      <xdr:row>14</xdr:row>
      <xdr:rowOff>26131</xdr:rowOff>
    </xdr:to>
    <xdr:pic>
      <xdr:nvPicPr>
        <xdr:cNvPr id="8634" name="Picture 1">
          <a:hlinkClick xmlns:r="http://schemas.openxmlformats.org/officeDocument/2006/relationships" r:id="rId1" tooltip="Våpen"/>
          <a:extLst>
            <a:ext uri="{FF2B5EF4-FFF2-40B4-BE49-F238E27FC236}">
              <a16:creationId xmlns:a16="http://schemas.microsoft.com/office/drawing/2014/main" id="{00000000-0008-0000-0100-0000BA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36718" y="856211"/>
          <a:ext cx="1240631" cy="1431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17</xdr:row>
      <xdr:rowOff>95250</xdr:rowOff>
    </xdr:from>
    <xdr:to>
      <xdr:col>13</xdr:col>
      <xdr:colOff>466725</xdr:colOff>
      <xdr:row>19</xdr:row>
      <xdr:rowOff>59531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3875" y="2847975"/>
          <a:ext cx="9229725" cy="288131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nb-NO" sz="2000">
            <a:latin typeface="Arial" pitchFamily="34" charset="0"/>
            <a:cs typeface="Arial" pitchFamily="34" charset="0"/>
          </a:endParaRPr>
        </a:p>
        <a:p>
          <a:endParaRPr lang="nb-NO" sz="1100"/>
        </a:p>
      </xdr:txBody>
    </xdr:sp>
    <xdr:clientData/>
  </xdr:twoCellAnchor>
  <xdr:twoCellAnchor>
    <xdr:from>
      <xdr:col>1</xdr:col>
      <xdr:colOff>57149</xdr:colOff>
      <xdr:row>20</xdr:row>
      <xdr:rowOff>95250</xdr:rowOff>
    </xdr:from>
    <xdr:to>
      <xdr:col>3</xdr:col>
      <xdr:colOff>277949</xdr:colOff>
      <xdr:row>25</xdr:row>
      <xdr:rowOff>5625</xdr:rowOff>
    </xdr:to>
    <xdr:sp macro="[0]!Macro1" textlink="">
      <xdr:nvSpPr>
        <xdr:cNvPr id="5" name="Beve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6749" y="3333750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nb-NO" sz="1100"/>
            <a:t>Input,</a:t>
          </a:r>
        </a:p>
        <a:p>
          <a:pPr algn="ctr"/>
          <a:r>
            <a:rPr lang="nb-NO" sz="1100"/>
            <a:t> kommunale barnehager</a:t>
          </a:r>
        </a:p>
      </xdr:txBody>
    </xdr:sp>
    <xdr:clientData/>
  </xdr:twoCellAnchor>
  <xdr:twoCellAnchor>
    <xdr:from>
      <xdr:col>3</xdr:col>
      <xdr:colOff>400050</xdr:colOff>
      <xdr:row>20</xdr:row>
      <xdr:rowOff>95250</xdr:rowOff>
    </xdr:from>
    <xdr:to>
      <xdr:col>6</xdr:col>
      <xdr:colOff>11250</xdr:colOff>
      <xdr:row>25</xdr:row>
      <xdr:rowOff>5625</xdr:rowOff>
    </xdr:to>
    <xdr:sp macro="[0]!Macro3" textlink="">
      <xdr:nvSpPr>
        <xdr:cNvPr id="6" name="Beve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28850" y="3333750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Beregning kommunalt tilskudd</a:t>
          </a:r>
        </a:p>
      </xdr:txBody>
    </xdr:sp>
    <xdr:clientData/>
  </xdr:twoCellAnchor>
  <xdr:twoCellAnchor>
    <xdr:from>
      <xdr:col>6</xdr:col>
      <xdr:colOff>161925</xdr:colOff>
      <xdr:row>20</xdr:row>
      <xdr:rowOff>104775</xdr:rowOff>
    </xdr:from>
    <xdr:to>
      <xdr:col>8</xdr:col>
      <xdr:colOff>382725</xdr:colOff>
      <xdr:row>25</xdr:row>
      <xdr:rowOff>15150</xdr:rowOff>
    </xdr:to>
    <xdr:sp macro="[0]!Macro5" textlink="">
      <xdr:nvSpPr>
        <xdr:cNvPr id="7" name="Beve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9525" y="3343275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Pensjonsandel</a:t>
          </a:r>
          <a:br>
            <a:rPr lang="nb-NO" sz="1100">
              <a:solidFill>
                <a:sysClr val="windowText" lastClr="000000"/>
              </a:solidFill>
            </a:rPr>
          </a:br>
          <a:r>
            <a:rPr lang="nb-NO" sz="1100">
              <a:solidFill>
                <a:sysClr val="windowText" lastClr="000000"/>
              </a:solidFill>
            </a:rPr>
            <a:t>i</a:t>
          </a:r>
          <a:r>
            <a:rPr lang="nb-NO" sz="1100" baseline="0">
              <a:solidFill>
                <a:sysClr val="windowText" lastClr="000000"/>
              </a:solidFill>
            </a:rPr>
            <a:t> henhold til Udirs oppsett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514350</xdr:colOff>
      <xdr:row>20</xdr:row>
      <xdr:rowOff>104775</xdr:rowOff>
    </xdr:from>
    <xdr:to>
      <xdr:col>11</xdr:col>
      <xdr:colOff>125550</xdr:colOff>
      <xdr:row>25</xdr:row>
      <xdr:rowOff>15150</xdr:rowOff>
    </xdr:to>
    <xdr:sp macro="[0]!Macro7" textlink="">
      <xdr:nvSpPr>
        <xdr:cNvPr id="8" name="Beve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91150" y="3343275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Gjeldende tilskuddssatser</a:t>
          </a:r>
        </a:p>
      </xdr:txBody>
    </xdr:sp>
    <xdr:clientData/>
  </xdr:twoCellAnchor>
  <xdr:twoCellAnchor>
    <xdr:from>
      <xdr:col>11</xdr:col>
      <xdr:colOff>228600</xdr:colOff>
      <xdr:row>20</xdr:row>
      <xdr:rowOff>95249</xdr:rowOff>
    </xdr:from>
    <xdr:to>
      <xdr:col>13</xdr:col>
      <xdr:colOff>449400</xdr:colOff>
      <xdr:row>25</xdr:row>
      <xdr:rowOff>5624</xdr:rowOff>
    </xdr:to>
    <xdr:sp macro="[0]!Macro9" textlink="">
      <xdr:nvSpPr>
        <xdr:cNvPr id="9" name="Beve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934200" y="3333749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solidFill>
                <a:sysClr val="windowText" lastClr="000000"/>
              </a:solidFill>
              <a:effectLst/>
            </a:rPr>
            <a:t>Pensjonspåslag</a:t>
          </a:r>
          <a:r>
            <a:rPr lang="nb-NO" baseline="0">
              <a:solidFill>
                <a:sysClr val="windowText" lastClr="000000"/>
              </a:solidFill>
              <a:effectLst/>
            </a:rPr>
            <a:t> 10% pluss arb.g.avg</a:t>
          </a:r>
          <a:endParaRPr lang="nb-NO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1914300</xdr:colOff>
      <xdr:row>2</xdr:row>
      <xdr:rowOff>158025</xdr:rowOff>
    </xdr:to>
    <xdr:sp macro="[0]!Macro2" textlink="">
      <xdr:nvSpPr>
        <xdr:cNvPr id="6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4300" y="114300"/>
          <a:ext cx="1800000" cy="720000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hovedsidenKr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0</xdr:col>
      <xdr:colOff>1952400</xdr:colOff>
      <xdr:row>3</xdr:row>
      <xdr:rowOff>34199</xdr:rowOff>
    </xdr:to>
    <xdr:sp macro="[0]!Macro6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2400" y="152399"/>
          <a:ext cx="1800000" cy="720000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forsiden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22</xdr:col>
      <xdr:colOff>276000</xdr:colOff>
      <xdr:row>12</xdr:row>
      <xdr:rowOff>92408</xdr:rowOff>
    </xdr:to>
    <xdr:sp macro="[0]!Macro2" textlink="">
      <xdr:nvSpPr>
        <xdr:cNvPr id="2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828400-10D0-4EAB-9C0E-A465BA64B143}"/>
            </a:ext>
          </a:extLst>
        </xdr:cNvPr>
        <xdr:cNvSpPr/>
      </xdr:nvSpPr>
      <xdr:spPr>
        <a:xfrm>
          <a:off x="18449925" y="1162050"/>
          <a:ext cx="1800000" cy="104490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7</xdr:col>
      <xdr:colOff>276000</xdr:colOff>
      <xdr:row>4</xdr:row>
      <xdr:rowOff>149558</xdr:rowOff>
    </xdr:to>
    <xdr:sp macro="[0]!Macro2" textlink="">
      <xdr:nvSpPr>
        <xdr:cNvPr id="3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600575" y="381000"/>
          <a:ext cx="1800000" cy="72105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.sandefjord.kommune.no\administrasjon\OK\Administrasjon%20oppvekst%20og%20kunnskap\21%20Administrasjon\2017\Regnskap\&#197;rsoppgj&#248;r\R&#248;d%20bok\&#197;rsregnskap%202017%20hele%20kommunen%20utlistet%20201805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jon/21%20Administrasjon/2013/Budsjett/1.tertial%20og%20rammesak/Elevtallsendr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R\My%20Documents\2006\SANDEFJORD%20KOMMUNE\Ressursmodell%20v&#229;r%202006\Eksempeldokumentasjon\SANDNES_Modell%20v10b%20inkl%20oppdatert%20elevgrunnlag%20(ikke%20beskytte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2%20Skole\&#216;konomi\Ny%20ressursmodell\Ressursmodell%20Sandefjord%20kommune%20v1.2%20-%20f&#248;rste%20kj&#248;ring%2013.10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Regnskap hittil i år"/>
      <sheetName val="Prosjekt"/>
      <sheetName val="Objekt"/>
      <sheetName val="Kommunale barnehager felles"/>
      <sheetName val="Vaktmestertjenesten"/>
      <sheetName val="Obj kom bhg"/>
      <sheetName val="__parameters"/>
    </sheetNames>
    <sheetDataSet>
      <sheetData sheetId="0">
        <row r="3">
          <cell r="K3">
            <v>1499075.39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e elevtall"/>
      <sheetName val="FORUTSETNINGER"/>
      <sheetName val="Budendr-i-aar"/>
      <sheetName val="Budendr-i-aar-LTB"/>
      <sheetName val="LTB ufordelt endring 2-4"/>
      <sheetName val="LTB ufordelt endring 2-4 (2)"/>
      <sheetName val="Ark1"/>
    </sheetNames>
    <sheetDataSet>
      <sheetData sheetId="0">
        <row r="65">
          <cell r="E65">
            <v>0</v>
          </cell>
        </row>
      </sheetData>
      <sheetData sheetId="1">
        <row r="29">
          <cell r="B29">
            <v>0.1</v>
          </cell>
          <cell r="C29">
            <v>0.1</v>
          </cell>
          <cell r="D29">
            <v>0.1</v>
          </cell>
          <cell r="E29">
            <v>0.1</v>
          </cell>
          <cell r="F29">
            <v>0.1</v>
          </cell>
        </row>
        <row r="30">
          <cell r="B30">
            <v>0.14099999999999999</v>
          </cell>
          <cell r="C30">
            <v>0.14099999999999999</v>
          </cell>
          <cell r="D30">
            <v>0.14099999999999999</v>
          </cell>
          <cell r="E30">
            <v>0.14099999999999999</v>
          </cell>
          <cell r="F30">
            <v>0.14099999999999999</v>
          </cell>
        </row>
        <row r="31">
          <cell r="B31">
            <v>0</v>
          </cell>
          <cell r="C31">
            <v>6.4999999999999997E-3</v>
          </cell>
          <cell r="D31">
            <v>6.4999999999999997E-3</v>
          </cell>
          <cell r="E31">
            <v>6.4999999999999997E-3</v>
          </cell>
          <cell r="F31">
            <v>6.4999999999999997E-3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vedmeny (2)"/>
      <sheetName val="Hovedmeny"/>
      <sheetName val="Veiledning"/>
      <sheetName val="Hjelpeark"/>
      <sheetName val="Tildelingsfaktorer"/>
      <sheetName val="Manuell tildeling"/>
      <sheetName val="Uttrekk SATS"/>
      <sheetName val="Uttrekk senior_1"/>
      <sheetName val="Uttrekk senior_2"/>
      <sheetName val="MR Ant elever"/>
      <sheetName val="MR senioransatte"/>
      <sheetName val="Tildeling"/>
      <sheetName val="Simulering"/>
      <sheetName val="Totalrapport"/>
      <sheetName val="Aspe"/>
      <sheetName val="Aust"/>
      <sheetName val="Boga"/>
      <sheetName val="Figg"/>
      <sheetName val="Gand"/>
      <sheetName val="Gisk"/>
      <sheetName val="Hana"/>
      <sheetName val="Homm"/>
      <sheetName val="Høle"/>
      <sheetName val="Høyl"/>
      <sheetName val="Igle"/>
      <sheetName val="Kyrk"/>
      <sheetName val="Lham"/>
      <sheetName val="Lura"/>
      <sheetName val="Malm"/>
      <sheetName val="Maud"/>
      <sheetName val="Pors"/>
      <sheetName val="Risk"/>
      <sheetName val="Sand"/>
      <sheetName val="Skei"/>
      <sheetName val="Smea"/>
      <sheetName val="Soma"/>
      <sheetName val="Stan"/>
      <sheetName val="Svil"/>
      <sheetName val="Sørb"/>
      <sheetName val="Tron"/>
      <sheetName val="Vatn"/>
      <sheetName val="Øyga"/>
      <sheetName val="Alto"/>
      <sheetName val="Ny 1"/>
      <sheetName val="Ny 2"/>
      <sheetName val="Ny 3"/>
    </sheetNames>
    <sheetDataSet>
      <sheetData sheetId="0"/>
      <sheetData sheetId="1"/>
      <sheetData sheetId="2"/>
      <sheetData sheetId="3"/>
      <sheetData sheetId="4">
        <row r="4">
          <cell r="C4">
            <v>451545</v>
          </cell>
          <cell r="G4">
            <v>26</v>
          </cell>
        </row>
        <row r="6">
          <cell r="G6">
            <v>23.01</v>
          </cell>
        </row>
        <row r="27">
          <cell r="C27">
            <v>18</v>
          </cell>
        </row>
        <row r="30">
          <cell r="C30" t="str">
            <v>Aspe</v>
          </cell>
          <cell r="D30" t="str">
            <v>Aust</v>
          </cell>
          <cell r="E30" t="str">
            <v>Boga</v>
          </cell>
          <cell r="F30" t="str">
            <v>Figg</v>
          </cell>
          <cell r="G30" t="str">
            <v>Gand</v>
          </cell>
          <cell r="H30" t="str">
            <v>Gisk</v>
          </cell>
          <cell r="I30" t="str">
            <v>Hana</v>
          </cell>
          <cell r="J30" t="str">
            <v>Homm</v>
          </cell>
          <cell r="K30" t="str">
            <v>Høle</v>
          </cell>
          <cell r="L30" t="str">
            <v>Høyl</v>
          </cell>
          <cell r="M30" t="str">
            <v>Igle</v>
          </cell>
          <cell r="N30" t="str">
            <v>Kyrk</v>
          </cell>
          <cell r="O30" t="str">
            <v>Lham</v>
          </cell>
          <cell r="P30" t="str">
            <v>Lura</v>
          </cell>
          <cell r="Q30" t="str">
            <v>Malm</v>
          </cell>
          <cell r="R30" t="str">
            <v>Maud</v>
          </cell>
          <cell r="S30" t="str">
            <v>Pors</v>
          </cell>
          <cell r="T30" t="str">
            <v>Risk</v>
          </cell>
          <cell r="U30" t="str">
            <v>Sand</v>
          </cell>
          <cell r="V30" t="str">
            <v>Skei</v>
          </cell>
          <cell r="W30" t="str">
            <v>Smea</v>
          </cell>
          <cell r="X30" t="str">
            <v>Soma</v>
          </cell>
          <cell r="Y30" t="str">
            <v>Stan</v>
          </cell>
          <cell r="Z30" t="str">
            <v>Svil</v>
          </cell>
          <cell r="AA30" t="str">
            <v>Sørb</v>
          </cell>
          <cell r="AB30" t="str">
            <v>Tron</v>
          </cell>
          <cell r="AC30" t="str">
            <v>Vatn</v>
          </cell>
          <cell r="AD30" t="str">
            <v>Øyga</v>
          </cell>
          <cell r="AE30" t="str">
            <v>Alto</v>
          </cell>
        </row>
        <row r="31">
          <cell r="B31" t="str">
            <v>Antall hele plasser SFO</v>
          </cell>
          <cell r="C31">
            <v>60.4</v>
          </cell>
          <cell r="D31">
            <v>75.8</v>
          </cell>
          <cell r="E31">
            <v>102</v>
          </cell>
          <cell r="F31">
            <v>39</v>
          </cell>
          <cell r="G31">
            <v>67.2</v>
          </cell>
          <cell r="I31">
            <v>58</v>
          </cell>
          <cell r="J31">
            <v>36</v>
          </cell>
          <cell r="K31">
            <v>18</v>
          </cell>
          <cell r="M31">
            <v>89.2</v>
          </cell>
          <cell r="N31">
            <v>43.8</v>
          </cell>
          <cell r="P31">
            <v>82</v>
          </cell>
          <cell r="Q31">
            <v>7.6</v>
          </cell>
          <cell r="R31">
            <v>29.6</v>
          </cell>
          <cell r="S31">
            <v>77.8</v>
          </cell>
          <cell r="U31">
            <v>99.8</v>
          </cell>
          <cell r="W31">
            <v>56</v>
          </cell>
          <cell r="X31">
            <v>18</v>
          </cell>
          <cell r="Y31">
            <v>88.6</v>
          </cell>
          <cell r="Z31">
            <v>16.8</v>
          </cell>
          <cell r="AA31">
            <v>44</v>
          </cell>
          <cell r="AB31">
            <v>113.4</v>
          </cell>
          <cell r="AC31">
            <v>34.6</v>
          </cell>
        </row>
        <row r="32">
          <cell r="B32" t="str">
            <v>Antall funksjonshemmede SFO</v>
          </cell>
          <cell r="C32">
            <v>1</v>
          </cell>
          <cell r="E32">
            <v>3</v>
          </cell>
          <cell r="G32">
            <v>3</v>
          </cell>
          <cell r="I32">
            <v>2</v>
          </cell>
          <cell r="J32">
            <v>2</v>
          </cell>
          <cell r="M32">
            <v>1</v>
          </cell>
          <cell r="N32">
            <v>1</v>
          </cell>
          <cell r="P32">
            <v>1</v>
          </cell>
          <cell r="R32">
            <v>1</v>
          </cell>
          <cell r="S32">
            <v>2</v>
          </cell>
          <cell r="U32">
            <v>2</v>
          </cell>
          <cell r="Y32">
            <v>4</v>
          </cell>
          <cell r="Z32">
            <v>1</v>
          </cell>
          <cell r="AB32">
            <v>30</v>
          </cell>
          <cell r="AC32">
            <v>1</v>
          </cell>
        </row>
        <row r="33">
          <cell r="B33" t="str">
            <v>Egenbetaling SFO</v>
          </cell>
          <cell r="C33">
            <v>-1223000</v>
          </cell>
          <cell r="D33">
            <v>-1534000</v>
          </cell>
          <cell r="E33">
            <v>-2065000</v>
          </cell>
          <cell r="F33">
            <v>-789000</v>
          </cell>
          <cell r="G33">
            <v>-1360000</v>
          </cell>
          <cell r="I33">
            <v>-1174000</v>
          </cell>
          <cell r="J33">
            <v>-729000</v>
          </cell>
          <cell r="K33">
            <v>-364000</v>
          </cell>
          <cell r="M33">
            <v>-1805000</v>
          </cell>
          <cell r="N33">
            <v>-887000</v>
          </cell>
          <cell r="P33">
            <v>-1660000</v>
          </cell>
          <cell r="Q33">
            <v>-154000</v>
          </cell>
          <cell r="R33">
            <v>-599000</v>
          </cell>
          <cell r="S33">
            <v>-1575000</v>
          </cell>
          <cell r="U33">
            <v>-2020000</v>
          </cell>
          <cell r="W33">
            <v>-1133000</v>
          </cell>
          <cell r="X33">
            <v>-364000</v>
          </cell>
          <cell r="Y33">
            <v>-1793000</v>
          </cell>
          <cell r="Z33">
            <v>-340000</v>
          </cell>
          <cell r="AA33">
            <v>-891000</v>
          </cell>
          <cell r="AB33">
            <v>-2295000</v>
          </cell>
          <cell r="AC33">
            <v>-700000</v>
          </cell>
        </row>
        <row r="34">
          <cell r="B34" t="str">
            <v>Ekstra ferieuke ansatte over 60 år</v>
          </cell>
        </row>
        <row r="35">
          <cell r="C35" t="str">
            <v>Aspe</v>
          </cell>
          <cell r="D35" t="str">
            <v>Aust</v>
          </cell>
          <cell r="E35" t="str">
            <v>Boga</v>
          </cell>
          <cell r="F35" t="str">
            <v>Figg</v>
          </cell>
          <cell r="G35" t="str">
            <v>Gand</v>
          </cell>
          <cell r="H35" t="str">
            <v>Gisk</v>
          </cell>
          <cell r="I35" t="str">
            <v>Hana</v>
          </cell>
          <cell r="J35" t="str">
            <v>Homm</v>
          </cell>
          <cell r="K35" t="str">
            <v>Høle</v>
          </cell>
          <cell r="L35" t="str">
            <v>Høyl</v>
          </cell>
          <cell r="M35" t="str">
            <v>Igle</v>
          </cell>
          <cell r="N35" t="str">
            <v>Kyrk</v>
          </cell>
          <cell r="O35" t="str">
            <v>Lham</v>
          </cell>
          <cell r="P35" t="str">
            <v>Lura</v>
          </cell>
          <cell r="Q35" t="str">
            <v>Malm</v>
          </cell>
          <cell r="R35" t="str">
            <v>Maud</v>
          </cell>
          <cell r="S35" t="str">
            <v>Pors</v>
          </cell>
          <cell r="T35" t="str">
            <v>Risk</v>
          </cell>
          <cell r="U35" t="str">
            <v>Sand</v>
          </cell>
          <cell r="V35" t="str">
            <v>Skei</v>
          </cell>
          <cell r="W35" t="str">
            <v>Smea</v>
          </cell>
          <cell r="X35" t="str">
            <v>Soma</v>
          </cell>
          <cell r="Y35" t="str">
            <v>Stan</v>
          </cell>
          <cell r="Z35" t="str">
            <v>Svil</v>
          </cell>
          <cell r="AA35" t="str">
            <v>Sørb</v>
          </cell>
          <cell r="AB35" t="str">
            <v>Tron</v>
          </cell>
          <cell r="AC35" t="str">
            <v>Vatn</v>
          </cell>
          <cell r="AD35" t="str">
            <v>Øyga</v>
          </cell>
          <cell r="AE35" t="str">
            <v>Alto</v>
          </cell>
        </row>
        <row r="36">
          <cell r="B36" t="str">
            <v>Ant ansatte over 60 år</v>
          </cell>
          <cell r="C36">
            <v>1</v>
          </cell>
          <cell r="D36">
            <v>6.8</v>
          </cell>
          <cell r="E36">
            <v>0</v>
          </cell>
          <cell r="F36">
            <v>0.7</v>
          </cell>
          <cell r="G36">
            <v>1.5</v>
          </cell>
          <cell r="H36">
            <v>3.94</v>
          </cell>
          <cell r="I36">
            <v>3.93</v>
          </cell>
          <cell r="J36">
            <v>0</v>
          </cell>
          <cell r="K36">
            <v>1</v>
          </cell>
          <cell r="L36">
            <v>10.382100000000001</v>
          </cell>
          <cell r="M36">
            <v>2.7138</v>
          </cell>
          <cell r="N36">
            <v>2</v>
          </cell>
          <cell r="O36">
            <v>1</v>
          </cell>
          <cell r="P36">
            <v>5.0999999999999996</v>
          </cell>
          <cell r="Q36">
            <v>0.2</v>
          </cell>
          <cell r="R36">
            <v>1</v>
          </cell>
          <cell r="S36">
            <v>1.1000000000000001</v>
          </cell>
          <cell r="T36">
            <v>3.17</v>
          </cell>
          <cell r="U36">
            <v>6.0949999999999998</v>
          </cell>
          <cell r="V36">
            <v>8.07</v>
          </cell>
          <cell r="W36">
            <v>0</v>
          </cell>
          <cell r="X36">
            <v>0.25</v>
          </cell>
          <cell r="Y36">
            <v>3.65</v>
          </cell>
          <cell r="Z36">
            <v>0</v>
          </cell>
          <cell r="AA36">
            <v>0</v>
          </cell>
          <cell r="AB36">
            <v>9</v>
          </cell>
          <cell r="AC36">
            <v>0</v>
          </cell>
          <cell r="AD36">
            <v>2</v>
          </cell>
          <cell r="AE36">
            <v>0</v>
          </cell>
        </row>
        <row r="38">
          <cell r="B38" t="str">
            <v>Øvrige manuelle tildelinger/fradrag</v>
          </cell>
        </row>
        <row r="39">
          <cell r="B39" t="str">
            <v>Justering for gjennomsnittslønn</v>
          </cell>
          <cell r="C39">
            <v>-292000</v>
          </cell>
          <cell r="D39">
            <v>296000</v>
          </cell>
          <cell r="E39">
            <v>-268000</v>
          </cell>
          <cell r="F39">
            <v>-48000</v>
          </cell>
          <cell r="G39">
            <v>-270000</v>
          </cell>
          <cell r="H39">
            <v>75000</v>
          </cell>
          <cell r="I39">
            <v>-192000</v>
          </cell>
          <cell r="J39">
            <v>-171000</v>
          </cell>
          <cell r="K39">
            <v>-118000</v>
          </cell>
          <cell r="L39">
            <v>640000</v>
          </cell>
          <cell r="M39">
            <v>-71000</v>
          </cell>
          <cell r="N39">
            <v>8000</v>
          </cell>
          <cell r="O39">
            <v>270000</v>
          </cell>
          <cell r="P39">
            <v>468000</v>
          </cell>
          <cell r="Q39">
            <v>33000</v>
          </cell>
          <cell r="R39">
            <v>-198000</v>
          </cell>
          <cell r="S39">
            <v>-4000</v>
          </cell>
          <cell r="T39">
            <v>-367000</v>
          </cell>
          <cell r="U39">
            <v>68000</v>
          </cell>
          <cell r="V39">
            <v>8000</v>
          </cell>
          <cell r="W39">
            <v>185000</v>
          </cell>
          <cell r="X39">
            <v>223000</v>
          </cell>
          <cell r="Y39">
            <v>308000</v>
          </cell>
          <cell r="Z39">
            <v>24000</v>
          </cell>
          <cell r="AA39">
            <v>80000</v>
          </cell>
          <cell r="AB39">
            <v>-1095000</v>
          </cell>
          <cell r="AC39">
            <v>-109000</v>
          </cell>
          <cell r="AD39">
            <v>517000</v>
          </cell>
        </row>
      </sheetData>
      <sheetData sheetId="5">
        <row r="4">
          <cell r="C4" t="str">
            <v>Skole fork</v>
          </cell>
          <cell r="D4" t="str">
            <v>Annet</v>
          </cell>
          <cell r="E4" t="str">
            <v>Refusjon fra andre kommuner</v>
          </cell>
          <cell r="F4" t="str">
            <v>Elever fra andre kommuner</v>
          </cell>
          <cell r="G4" t="str">
            <v>Husleie</v>
          </cell>
          <cell r="H4" t="str">
            <v>Innførings-klasser</v>
          </cell>
          <cell r="I4" t="str">
            <v>Øvingslærere</v>
          </cell>
          <cell r="J4" t="str">
            <v>Kommunale-avgifter</v>
          </cell>
          <cell r="K4" t="str">
            <v xml:space="preserve">Norsk 2 </v>
          </cell>
          <cell r="L4" t="str">
            <v>Refusjon fra UiS</v>
          </cell>
          <cell r="M4" t="str">
            <v>Ekstra ressurser</v>
          </cell>
        </row>
        <row r="9">
          <cell r="C9" t="str">
            <v>Aspe</v>
          </cell>
        </row>
        <row r="10">
          <cell r="C10" t="str">
            <v>Aust</v>
          </cell>
        </row>
        <row r="11">
          <cell r="C11" t="str">
            <v>Boga</v>
          </cell>
        </row>
        <row r="12">
          <cell r="C12" t="str">
            <v>Figg</v>
          </cell>
        </row>
        <row r="13">
          <cell r="C13" t="str">
            <v>Gand</v>
          </cell>
        </row>
        <row r="14">
          <cell r="C14" t="str">
            <v>Gisk</v>
          </cell>
        </row>
        <row r="15">
          <cell r="C15" t="str">
            <v>Hana</v>
          </cell>
        </row>
        <row r="16">
          <cell r="C16" t="str">
            <v>Homm</v>
          </cell>
        </row>
        <row r="17">
          <cell r="C17" t="str">
            <v>Høle</v>
          </cell>
        </row>
        <row r="18">
          <cell r="C18" t="str">
            <v>Høyl</v>
          </cell>
        </row>
        <row r="19">
          <cell r="C19" t="str">
            <v>Igle</v>
          </cell>
        </row>
        <row r="20">
          <cell r="C20" t="str">
            <v>Kyrk</v>
          </cell>
        </row>
        <row r="21">
          <cell r="C21" t="str">
            <v>Lham</v>
          </cell>
        </row>
        <row r="22">
          <cell r="C22" t="str">
            <v>Lura</v>
          </cell>
        </row>
        <row r="23">
          <cell r="C23" t="str">
            <v>Malm</v>
          </cell>
        </row>
        <row r="24">
          <cell r="C24" t="str">
            <v>Maud</v>
          </cell>
        </row>
        <row r="25">
          <cell r="C25" t="str">
            <v>Pors</v>
          </cell>
        </row>
        <row r="26">
          <cell r="C26" t="str">
            <v>Risk</v>
          </cell>
        </row>
        <row r="27">
          <cell r="C27" t="str">
            <v>Sand</v>
          </cell>
        </row>
        <row r="28">
          <cell r="C28" t="str">
            <v>Skei</v>
          </cell>
        </row>
        <row r="29">
          <cell r="C29" t="str">
            <v>Smea</v>
          </cell>
        </row>
        <row r="30">
          <cell r="C30" t="str">
            <v>Soma</v>
          </cell>
        </row>
        <row r="31">
          <cell r="C31" t="str">
            <v>Stan</v>
          </cell>
        </row>
        <row r="32">
          <cell r="C32" t="str">
            <v>Svil</v>
          </cell>
        </row>
        <row r="33">
          <cell r="C33" t="str">
            <v>Sørb</v>
          </cell>
        </row>
        <row r="34">
          <cell r="C34" t="str">
            <v>Tron</v>
          </cell>
        </row>
        <row r="35">
          <cell r="C35" t="str">
            <v>Vatn</v>
          </cell>
        </row>
        <row r="36">
          <cell r="C36" t="str">
            <v>Øyga</v>
          </cell>
        </row>
        <row r="37">
          <cell r="C37" t="str">
            <v>Alto</v>
          </cell>
        </row>
        <row r="38">
          <cell r="C38" t="str">
            <v>Ny 1</v>
          </cell>
        </row>
        <row r="39">
          <cell r="C39" t="str">
            <v>Ny 2</v>
          </cell>
        </row>
        <row r="40">
          <cell r="C40" t="str">
            <v>Ny 3</v>
          </cell>
        </row>
      </sheetData>
      <sheetData sheetId="6"/>
      <sheetData sheetId="7"/>
      <sheetData sheetId="8"/>
      <sheetData sheetId="9">
        <row r="18">
          <cell r="C18" t="str">
            <v>Årstrinn</v>
          </cell>
          <cell r="D18" t="str">
            <v>Aspe</v>
          </cell>
          <cell r="E18" t="str">
            <v>Aust</v>
          </cell>
          <cell r="F18" t="str">
            <v>Boga</v>
          </cell>
          <cell r="G18" t="str">
            <v>Figg</v>
          </cell>
          <cell r="H18" t="str">
            <v>Gand</v>
          </cell>
          <cell r="I18" t="str">
            <v>Gisk</v>
          </cell>
          <cell r="J18" t="str">
            <v>Hana</v>
          </cell>
          <cell r="K18" t="str">
            <v>Homm</v>
          </cell>
          <cell r="L18" t="str">
            <v>Høle</v>
          </cell>
          <cell r="M18" t="str">
            <v>Høyl</v>
          </cell>
          <cell r="N18" t="str">
            <v>Igle</v>
          </cell>
          <cell r="O18" t="str">
            <v>Kyrk</v>
          </cell>
          <cell r="P18" t="str">
            <v>Lham</v>
          </cell>
          <cell r="Q18" t="str">
            <v>Lura</v>
          </cell>
          <cell r="R18" t="str">
            <v>Malm</v>
          </cell>
          <cell r="S18" t="str">
            <v>Maud</v>
          </cell>
          <cell r="T18" t="str">
            <v>Pors</v>
          </cell>
          <cell r="U18" t="str">
            <v>Risk</v>
          </cell>
          <cell r="V18" t="str">
            <v>Sand</v>
          </cell>
          <cell r="W18" t="str">
            <v>Skei</v>
          </cell>
          <cell r="X18" t="str">
            <v>Smea</v>
          </cell>
          <cell r="Y18" t="str">
            <v>Soma</v>
          </cell>
          <cell r="Z18" t="str">
            <v>Stan</v>
          </cell>
          <cell r="AA18" t="str">
            <v>Svil</v>
          </cell>
          <cell r="AB18" t="str">
            <v>Sørb</v>
          </cell>
          <cell r="AC18" t="str">
            <v>Tron</v>
          </cell>
          <cell r="AD18" t="str">
            <v>Vatn</v>
          </cell>
          <cell r="AE18" t="str">
            <v>Øyga</v>
          </cell>
          <cell r="AF18" t="str">
            <v>Alto</v>
          </cell>
        </row>
        <row r="19">
          <cell r="C19" t="str">
            <v>1-7</v>
          </cell>
          <cell r="D19">
            <v>313</v>
          </cell>
          <cell r="E19">
            <v>306</v>
          </cell>
          <cell r="F19">
            <v>429</v>
          </cell>
          <cell r="G19">
            <v>227</v>
          </cell>
          <cell r="H19">
            <v>373</v>
          </cell>
          <cell r="I19">
            <v>0</v>
          </cell>
          <cell r="J19">
            <v>321</v>
          </cell>
          <cell r="K19">
            <v>178</v>
          </cell>
          <cell r="L19">
            <v>88</v>
          </cell>
          <cell r="M19">
            <v>0</v>
          </cell>
          <cell r="N19">
            <v>361</v>
          </cell>
          <cell r="O19">
            <v>372</v>
          </cell>
          <cell r="P19">
            <v>0</v>
          </cell>
          <cell r="Q19">
            <v>437</v>
          </cell>
          <cell r="R19">
            <v>80</v>
          </cell>
          <cell r="S19">
            <v>198</v>
          </cell>
          <cell r="T19">
            <v>330</v>
          </cell>
          <cell r="U19">
            <v>0</v>
          </cell>
          <cell r="V19">
            <v>515</v>
          </cell>
          <cell r="W19">
            <v>0</v>
          </cell>
          <cell r="X19">
            <v>177</v>
          </cell>
          <cell r="Y19">
            <v>60</v>
          </cell>
          <cell r="Z19">
            <v>450</v>
          </cell>
          <cell r="AA19">
            <v>108</v>
          </cell>
          <cell r="AB19">
            <v>196</v>
          </cell>
          <cell r="AC19">
            <v>520</v>
          </cell>
          <cell r="AD19">
            <v>77</v>
          </cell>
          <cell r="AE19">
            <v>0</v>
          </cell>
          <cell r="AF19">
            <v>0</v>
          </cell>
        </row>
        <row r="20">
          <cell r="C20" t="str">
            <v>8-10</v>
          </cell>
          <cell r="D20">
            <v>0</v>
          </cell>
          <cell r="E20">
            <v>0</v>
          </cell>
          <cell r="F20">
            <v>80</v>
          </cell>
          <cell r="G20">
            <v>0</v>
          </cell>
          <cell r="H20">
            <v>0</v>
          </cell>
          <cell r="I20">
            <v>395</v>
          </cell>
          <cell r="J20">
            <v>0</v>
          </cell>
          <cell r="K20">
            <v>0</v>
          </cell>
          <cell r="L20">
            <v>42</v>
          </cell>
          <cell r="M20">
            <v>478</v>
          </cell>
          <cell r="N20">
            <v>0</v>
          </cell>
          <cell r="O20">
            <v>0</v>
          </cell>
          <cell r="P20">
            <v>308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341</v>
          </cell>
          <cell r="V20">
            <v>0</v>
          </cell>
          <cell r="W20">
            <v>483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12</v>
          </cell>
          <cell r="AD20">
            <v>0</v>
          </cell>
          <cell r="AE20">
            <v>375</v>
          </cell>
          <cell r="AF20">
            <v>0</v>
          </cell>
        </row>
        <row r="21">
          <cell r="C21" t="str">
            <v>Sum</v>
          </cell>
          <cell r="D21">
            <v>313</v>
          </cell>
          <cell r="E21">
            <v>306</v>
          </cell>
          <cell r="F21">
            <v>509</v>
          </cell>
          <cell r="G21">
            <v>227</v>
          </cell>
          <cell r="H21">
            <v>373</v>
          </cell>
          <cell r="I21">
            <v>395</v>
          </cell>
          <cell r="J21">
            <v>321</v>
          </cell>
          <cell r="K21">
            <v>178</v>
          </cell>
          <cell r="L21">
            <v>130</v>
          </cell>
          <cell r="M21">
            <v>478</v>
          </cell>
          <cell r="N21">
            <v>361</v>
          </cell>
          <cell r="O21">
            <v>372</v>
          </cell>
          <cell r="P21">
            <v>308</v>
          </cell>
          <cell r="Q21">
            <v>437</v>
          </cell>
          <cell r="R21">
            <v>80</v>
          </cell>
          <cell r="S21">
            <v>198</v>
          </cell>
          <cell r="T21">
            <v>330</v>
          </cell>
          <cell r="U21">
            <v>341</v>
          </cell>
          <cell r="V21">
            <v>515</v>
          </cell>
          <cell r="W21">
            <v>483</v>
          </cell>
          <cell r="X21">
            <v>177</v>
          </cell>
          <cell r="Y21">
            <v>60</v>
          </cell>
          <cell r="Z21">
            <v>450</v>
          </cell>
          <cell r="AA21">
            <v>108</v>
          </cell>
          <cell r="AB21">
            <v>196</v>
          </cell>
          <cell r="AC21">
            <v>532</v>
          </cell>
          <cell r="AD21">
            <v>77</v>
          </cell>
          <cell r="AE21">
            <v>375</v>
          </cell>
          <cell r="AF21">
            <v>0</v>
          </cell>
        </row>
      </sheetData>
      <sheetData sheetId="10">
        <row r="5">
          <cell r="A5" t="str">
            <v>Skolenavn</v>
          </cell>
          <cell r="B5" t="str">
            <v>Aspe</v>
          </cell>
          <cell r="C5" t="str">
            <v>Aust</v>
          </cell>
          <cell r="D5" t="str">
            <v>Boga</v>
          </cell>
          <cell r="E5" t="str">
            <v>Figg</v>
          </cell>
          <cell r="F5" t="str">
            <v>Gand</v>
          </cell>
          <cell r="G5" t="str">
            <v>Gisk</v>
          </cell>
          <cell r="H5" t="str">
            <v>Hana</v>
          </cell>
          <cell r="I5" t="str">
            <v>Homm</v>
          </cell>
          <cell r="J5" t="str">
            <v>Høle</v>
          </cell>
          <cell r="K5" t="str">
            <v>Høyl</v>
          </cell>
          <cell r="L5" t="str">
            <v>Igle</v>
          </cell>
          <cell r="M5" t="str">
            <v>Kyrk</v>
          </cell>
          <cell r="N5" t="str">
            <v>Lham</v>
          </cell>
          <cell r="O5" t="str">
            <v>Lura</v>
          </cell>
          <cell r="P5" t="str">
            <v>Malm</v>
          </cell>
          <cell r="Q5" t="str">
            <v>Maud</v>
          </cell>
          <cell r="R5" t="str">
            <v>Pors</v>
          </cell>
          <cell r="S5" t="str">
            <v>Risk</v>
          </cell>
          <cell r="T5" t="str">
            <v>Sand</v>
          </cell>
          <cell r="U5" t="str">
            <v>Skei</v>
          </cell>
          <cell r="V5" t="str">
            <v>Smea</v>
          </cell>
          <cell r="W5" t="str">
            <v>Soma</v>
          </cell>
          <cell r="X5" t="str">
            <v>Stan</v>
          </cell>
          <cell r="Y5" t="str">
            <v>Svil</v>
          </cell>
          <cell r="Z5" t="str">
            <v>Sørb</v>
          </cell>
          <cell r="AA5" t="str">
            <v>Tron</v>
          </cell>
          <cell r="AB5" t="str">
            <v>Vatn</v>
          </cell>
          <cell r="AC5" t="str">
            <v>Øyga</v>
          </cell>
          <cell r="AD5" t="str">
            <v>Alto</v>
          </cell>
        </row>
        <row r="6">
          <cell r="A6" t="str">
            <v>Ant senior-stillinger 58-59 år</v>
          </cell>
          <cell r="B6">
            <v>1.673</v>
          </cell>
          <cell r="C6">
            <v>0</v>
          </cell>
          <cell r="D6">
            <v>0.5</v>
          </cell>
          <cell r="E6">
            <v>0.5</v>
          </cell>
          <cell r="F6">
            <v>1</v>
          </cell>
          <cell r="G6">
            <v>3.2574999999999998</v>
          </cell>
          <cell r="H6">
            <v>1.8459999999999999</v>
          </cell>
          <cell r="I6">
            <v>0</v>
          </cell>
          <cell r="J6">
            <v>0.87890000000000001</v>
          </cell>
          <cell r="K6">
            <v>1.45</v>
          </cell>
          <cell r="L6">
            <v>1</v>
          </cell>
          <cell r="M6">
            <v>0</v>
          </cell>
          <cell r="N6">
            <v>0</v>
          </cell>
          <cell r="O6">
            <v>2.4500000000000002</v>
          </cell>
          <cell r="P6">
            <v>0</v>
          </cell>
          <cell r="Q6">
            <v>0</v>
          </cell>
          <cell r="R6">
            <v>1</v>
          </cell>
          <cell r="S6">
            <v>0.4</v>
          </cell>
          <cell r="T6">
            <v>2</v>
          </cell>
          <cell r="U6">
            <v>2</v>
          </cell>
          <cell r="V6">
            <v>0</v>
          </cell>
          <cell r="W6">
            <v>1</v>
          </cell>
          <cell r="X6">
            <v>0</v>
          </cell>
          <cell r="Y6">
            <v>0</v>
          </cell>
          <cell r="Z6">
            <v>0</v>
          </cell>
          <cell r="AA6">
            <v>2</v>
          </cell>
          <cell r="AB6">
            <v>0</v>
          </cell>
          <cell r="AC6">
            <v>3.13</v>
          </cell>
          <cell r="AD6">
            <v>0</v>
          </cell>
        </row>
        <row r="7">
          <cell r="A7" t="str">
            <v>Ant senior-stillinger over 60 år</v>
          </cell>
          <cell r="B7">
            <v>1</v>
          </cell>
          <cell r="C7">
            <v>3</v>
          </cell>
          <cell r="D7">
            <v>0</v>
          </cell>
          <cell r="E7">
            <v>0.7</v>
          </cell>
          <cell r="F7">
            <v>0</v>
          </cell>
          <cell r="G7">
            <v>6.3354999999999997</v>
          </cell>
          <cell r="H7">
            <v>3.6379999999999999</v>
          </cell>
          <cell r="I7">
            <v>0</v>
          </cell>
          <cell r="J7">
            <v>1.1000000000000001</v>
          </cell>
          <cell r="K7">
            <v>12.476999999999999</v>
          </cell>
          <cell r="L7">
            <v>2.1118000000000001</v>
          </cell>
          <cell r="M7">
            <v>1.8</v>
          </cell>
          <cell r="N7">
            <v>1.5</v>
          </cell>
          <cell r="O7">
            <v>7.6</v>
          </cell>
          <cell r="P7">
            <v>0.2</v>
          </cell>
          <cell r="Q7">
            <v>1</v>
          </cell>
          <cell r="R7">
            <v>1.1000000000000001</v>
          </cell>
          <cell r="S7">
            <v>4</v>
          </cell>
          <cell r="T7">
            <v>5.25</v>
          </cell>
          <cell r="U7">
            <v>9.1</v>
          </cell>
          <cell r="V7">
            <v>0</v>
          </cell>
          <cell r="W7">
            <v>0.25</v>
          </cell>
          <cell r="X7">
            <v>3</v>
          </cell>
          <cell r="Y7">
            <v>3.08</v>
          </cell>
          <cell r="Z7">
            <v>0</v>
          </cell>
          <cell r="AA7">
            <v>7.5039999999999996</v>
          </cell>
          <cell r="AB7">
            <v>0</v>
          </cell>
          <cell r="AC7">
            <v>3</v>
          </cell>
          <cell r="AD7">
            <v>0</v>
          </cell>
        </row>
        <row r="8">
          <cell r="A8" t="str">
            <v>Ekstra årsverk tilført</v>
          </cell>
          <cell r="B8">
            <v>0.23038</v>
          </cell>
          <cell r="C8">
            <v>0.39</v>
          </cell>
          <cell r="D8">
            <v>0.03</v>
          </cell>
          <cell r="E8">
            <v>0.121</v>
          </cell>
          <cell r="F8">
            <v>0.06</v>
          </cell>
          <cell r="G8">
            <v>1.0190649999999999</v>
          </cell>
          <cell r="H8">
            <v>0.5837</v>
          </cell>
          <cell r="I8">
            <v>0</v>
          </cell>
          <cell r="J8">
            <v>0.19573400000000002</v>
          </cell>
          <cell r="K8">
            <v>1.7090099999999999</v>
          </cell>
          <cell r="L8">
            <v>0.334534</v>
          </cell>
          <cell r="M8">
            <v>0.23400000000000001</v>
          </cell>
          <cell r="N8">
            <v>0.19500000000000001</v>
          </cell>
          <cell r="O8">
            <v>1.135</v>
          </cell>
          <cell r="P8">
            <v>2.6000000000000002E-2</v>
          </cell>
          <cell r="Q8">
            <v>0.13</v>
          </cell>
          <cell r="R8">
            <v>0.20300000000000001</v>
          </cell>
          <cell r="S8">
            <v>0.54400000000000004</v>
          </cell>
          <cell r="T8">
            <v>0.80249999999999999</v>
          </cell>
          <cell r="U8">
            <v>1.3029999999999999</v>
          </cell>
          <cell r="V8">
            <v>0</v>
          </cell>
          <cell r="W8">
            <v>9.2499999999999999E-2</v>
          </cell>
          <cell r="X8">
            <v>0.39</v>
          </cell>
          <cell r="Y8">
            <v>0.40040000000000003</v>
          </cell>
          <cell r="Z8">
            <v>0</v>
          </cell>
          <cell r="AA8">
            <v>1.09552</v>
          </cell>
          <cell r="AB8">
            <v>0</v>
          </cell>
          <cell r="AC8">
            <v>0.57779999999999998</v>
          </cell>
          <cell r="AD8">
            <v>0</v>
          </cell>
        </row>
        <row r="9">
          <cell r="A9" t="str">
            <v>Tillegg for ekstra ferieuke</v>
          </cell>
          <cell r="B9">
            <v>11882.763157894737</v>
          </cell>
          <cell r="C9">
            <v>80802.789473684214</v>
          </cell>
          <cell r="D9">
            <v>0</v>
          </cell>
          <cell r="E9">
            <v>8317.9342105263149</v>
          </cell>
          <cell r="F9">
            <v>17824.144736842107</v>
          </cell>
          <cell r="G9">
            <v>46818.086842105258</v>
          </cell>
          <cell r="H9">
            <v>46699.259210526317</v>
          </cell>
          <cell r="I9">
            <v>0</v>
          </cell>
          <cell r="J9">
            <v>11882.763157894737</v>
          </cell>
          <cell r="K9">
            <v>123368.03538157896</v>
          </cell>
          <cell r="L9">
            <v>32247.442657894735</v>
          </cell>
          <cell r="M9">
            <v>23765.526315789473</v>
          </cell>
          <cell r="N9">
            <v>11882.763157894737</v>
          </cell>
          <cell r="O9">
            <v>60602.092105263153</v>
          </cell>
          <cell r="P9">
            <v>2376.5526315789475</v>
          </cell>
          <cell r="Q9">
            <v>11882.763157894737</v>
          </cell>
          <cell r="R9">
            <v>13071.039473684212</v>
          </cell>
          <cell r="S9">
            <v>37668.359210526316</v>
          </cell>
          <cell r="T9">
            <v>72425.441447368416</v>
          </cell>
          <cell r="U9">
            <v>95893.898684210522</v>
          </cell>
          <cell r="V9">
            <v>0</v>
          </cell>
          <cell r="W9">
            <v>2970.6907894736842</v>
          </cell>
          <cell r="X9">
            <v>43372.085526315786</v>
          </cell>
          <cell r="Y9">
            <v>0</v>
          </cell>
          <cell r="Z9">
            <v>0</v>
          </cell>
          <cell r="AA9">
            <v>106944.86842105263</v>
          </cell>
          <cell r="AB9">
            <v>0</v>
          </cell>
          <cell r="AC9">
            <v>23765.526315789473</v>
          </cell>
          <cell r="AD9">
            <v>0</v>
          </cell>
        </row>
        <row r="11">
          <cell r="A11" t="str">
            <v>Tillegg for senioransatte</v>
          </cell>
          <cell r="B11">
            <v>115909.70025789473</v>
          </cell>
          <cell r="C11">
            <v>256905.33947368423</v>
          </cell>
          <cell r="D11">
            <v>13546.35</v>
          </cell>
          <cell r="E11">
            <v>62954.879210526313</v>
          </cell>
          <cell r="F11">
            <v>44916.844736842104</v>
          </cell>
          <cell r="G11">
            <v>506971.79226710519</v>
          </cell>
          <cell r="H11">
            <v>310266.07571052632</v>
          </cell>
          <cell r="I11">
            <v>0</v>
          </cell>
          <cell r="J11">
            <v>100265.47218789475</v>
          </cell>
          <cell r="K11">
            <v>895062.95583157893</v>
          </cell>
          <cell r="L11">
            <v>183304.59768789474</v>
          </cell>
          <cell r="M11">
            <v>129427.05631578949</v>
          </cell>
          <cell r="N11">
            <v>99934.038157894742</v>
          </cell>
          <cell r="O11">
            <v>573105.66710526322</v>
          </cell>
          <cell r="P11">
            <v>14116.722631578948</v>
          </cell>
          <cell r="Q11">
            <v>70583.613157894739</v>
          </cell>
          <cell r="R11">
            <v>104734.67447368422</v>
          </cell>
          <cell r="S11">
            <v>283308.83921052632</v>
          </cell>
          <cell r="T11">
            <v>434790.3039473684</v>
          </cell>
          <cell r="U11">
            <v>684257.0336842105</v>
          </cell>
          <cell r="V11">
            <v>0</v>
          </cell>
          <cell r="W11">
            <v>44738.603289473685</v>
          </cell>
          <cell r="X11">
            <v>219474.6355263158</v>
          </cell>
          <cell r="Y11">
            <v>180798.61800000002</v>
          </cell>
          <cell r="Z11">
            <v>0</v>
          </cell>
          <cell r="AA11">
            <v>601621.44682105258</v>
          </cell>
          <cell r="AB11">
            <v>0</v>
          </cell>
          <cell r="AC11">
            <v>284668.2273157895</v>
          </cell>
          <cell r="AD1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VEDMENY"/>
      <sheetName val="Hjelpeark"/>
      <sheetName val="Veiledning"/>
      <sheetName val="Tildelingsfaktorer"/>
      <sheetName val="Manuell tildeling"/>
      <sheetName val="Tildeling pr. skole"/>
      <sheetName val="Simulering spesundv"/>
      <sheetName val="Sammenligning m gammel modell"/>
      <sheetName val="Simulering - kommune"/>
      <sheetName val="Utrekk skoleadmin"/>
      <sheetName val="MR antall elever"/>
      <sheetName val="Uttrek senior 1"/>
      <sheetName val="Uttrekk senior 2"/>
      <sheetName val="MR senior"/>
      <sheetName val="Uttrekk gjlønn"/>
      <sheetName val="MR gjlønn"/>
      <sheetName val="Totalrapport"/>
      <sheetName val="Brei"/>
      <sheetName val="Bugå"/>
      <sheetName val="Ranv"/>
      <sheetName val="Vard"/>
      <sheetName val="Bysk"/>
      <sheetName val="Feva"/>
      <sheetName val="Fram"/>
      <sheetName val="Goks"/>
      <sheetName val="Hauk"/>
      <sheetName val="Helg"/>
      <sheetName val="Krok"/>
      <sheetName val="Moss"/>
      <sheetName val="Orme"/>
      <sheetName val="Sand"/>
      <sheetName val="Stor"/>
      <sheetName val="Unne"/>
      <sheetName val="Vest"/>
      <sheetName val="Viri"/>
      <sheetName val="Ny 1"/>
      <sheetName val="Ny 2"/>
      <sheetName val="Ny 3"/>
      <sheetName val="Ny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Regnskap%202023%20hele%20kommune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B1:I50"/>
  <sheetViews>
    <sheetView workbookViewId="0">
      <selection activeCell="E32" sqref="E32"/>
    </sheetView>
  </sheetViews>
  <sheetFormatPr baseColWidth="10" defaultRowHeight="12.75" x14ac:dyDescent="0.2"/>
  <cols>
    <col min="2" max="2" width="54.7109375" customWidth="1"/>
    <col min="3" max="3" width="13.85546875" bestFit="1" customWidth="1"/>
    <col min="4" max="4" width="10.28515625" style="71" customWidth="1"/>
    <col min="5" max="5" width="48.140625" bestFit="1" customWidth="1"/>
    <col min="8" max="8" width="12.85546875" bestFit="1" customWidth="1"/>
  </cols>
  <sheetData>
    <row r="1" spans="2:9" ht="15" x14ac:dyDescent="0.2">
      <c r="B1" s="86" t="s">
        <v>120</v>
      </c>
    </row>
    <row r="4" spans="2:9" x14ac:dyDescent="0.2">
      <c r="C4" s="2"/>
      <c r="D4" s="52"/>
    </row>
    <row r="5" spans="2:9" x14ac:dyDescent="0.2">
      <c r="B5" s="2" t="s">
        <v>388</v>
      </c>
      <c r="C5" s="1">
        <f>'Input, kommunale barnehager'!B50+'Input, kommunale barnehager'!D50+'Input, kommunale barnehager'!E50+'Input, kommunale barnehager'!F50+'Input, kommunale barnehager'!L50</f>
        <v>250787150.32382664</v>
      </c>
      <c r="E5" s="94" t="s">
        <v>341</v>
      </c>
      <c r="F5" s="95">
        <v>274.72999999999996</v>
      </c>
    </row>
    <row r="6" spans="2:9" x14ac:dyDescent="0.2">
      <c r="B6" t="s">
        <v>121</v>
      </c>
      <c r="C6" s="1">
        <f>'Input, kommunale barnehager'!H50</f>
        <v>-51590403.507370003</v>
      </c>
      <c r="E6" s="94" t="s">
        <v>393</v>
      </c>
      <c r="F6" s="95">
        <v>271.77999999999997</v>
      </c>
    </row>
    <row r="7" spans="2:9" x14ac:dyDescent="0.2">
      <c r="B7" s="2" t="s">
        <v>395</v>
      </c>
      <c r="C7" s="1">
        <f>C5+C6</f>
        <v>199196746.81645665</v>
      </c>
      <c r="E7" s="94" t="s">
        <v>122</v>
      </c>
      <c r="F7" s="95">
        <f>F5*7/12+F6*5/12</f>
        <v>273.50083333333328</v>
      </c>
    </row>
    <row r="8" spans="2:9" x14ac:dyDescent="0.2">
      <c r="E8" s="94" t="s">
        <v>230</v>
      </c>
      <c r="F8" s="110">
        <f>-C6/F7*1.044*1.041</f>
        <v>205003.60532755387</v>
      </c>
    </row>
    <row r="9" spans="2:9" x14ac:dyDescent="0.2">
      <c r="B9" t="s">
        <v>123</v>
      </c>
      <c r="C9" s="1">
        <v>172009977.38</v>
      </c>
      <c r="D9" s="1"/>
      <c r="E9" s="94" t="s">
        <v>233</v>
      </c>
      <c r="F9" s="110">
        <f>234919484.5/(D29*1.8+D30)*1.044*1.041</f>
        <v>177625.25423870012</v>
      </c>
    </row>
    <row r="10" spans="2:9" x14ac:dyDescent="0.2">
      <c r="B10" s="2" t="s">
        <v>273</v>
      </c>
      <c r="C10" s="1">
        <f>C9*10%</f>
        <v>17200997.738000002</v>
      </c>
      <c r="D10" s="1"/>
      <c r="E10" s="94"/>
      <c r="F10" s="94"/>
      <c r="I10" s="1"/>
    </row>
    <row r="11" spans="2:9" x14ac:dyDescent="0.2">
      <c r="B11" t="s">
        <v>124</v>
      </c>
      <c r="C11" s="1">
        <f>C10*14.1%</f>
        <v>2425340.6810579998</v>
      </c>
      <c r="D11" s="1"/>
      <c r="E11" s="94" t="str">
        <f>B10</f>
        <v>Pensjonspåslag eks arbeidsgiveravgift (10%)</v>
      </c>
      <c r="F11" s="110">
        <f>C10</f>
        <v>17200997.738000002</v>
      </c>
    </row>
    <row r="12" spans="2:9" x14ac:dyDescent="0.2">
      <c r="B12" t="s">
        <v>125</v>
      </c>
      <c r="C12" s="1">
        <f>C10+C11</f>
        <v>19626338.419058003</v>
      </c>
      <c r="D12" s="1"/>
      <c r="E12" s="94" t="s">
        <v>394</v>
      </c>
      <c r="F12" s="110">
        <f>F11*1.044*1.041</f>
        <v>18694113.145649351</v>
      </c>
    </row>
    <row r="13" spans="2:9" x14ac:dyDescent="0.2">
      <c r="D13"/>
      <c r="E13" s="94" t="s">
        <v>124</v>
      </c>
      <c r="F13" s="110">
        <f>F12*14.1%</f>
        <v>2635869.9535365584</v>
      </c>
    </row>
    <row r="14" spans="2:9" x14ac:dyDescent="0.2">
      <c r="B14" t="s">
        <v>126</v>
      </c>
      <c r="D14"/>
      <c r="E14" s="94" t="s">
        <v>125</v>
      </c>
      <c r="F14" s="110">
        <f>SUM(F12:F13)</f>
        <v>21329983.09918591</v>
      </c>
    </row>
    <row r="15" spans="2:9" x14ac:dyDescent="0.2">
      <c r="B15" s="2" t="s">
        <v>389</v>
      </c>
      <c r="C15" s="1">
        <f>C7</f>
        <v>199196746.81645665</v>
      </c>
      <c r="D15" s="1"/>
      <c r="E15" s="94"/>
      <c r="F15" s="94"/>
    </row>
    <row r="16" spans="2:9" x14ac:dyDescent="0.2">
      <c r="B16" t="s">
        <v>129</v>
      </c>
      <c r="C16" s="1">
        <f>C12</f>
        <v>19626338.419058003</v>
      </c>
      <c r="D16" s="1"/>
      <c r="E16" s="94" t="s">
        <v>127</v>
      </c>
      <c r="F16" s="96">
        <f>(F14*1.8*D29)/(D29*1.8+D30)</f>
        <v>9950163.4718060493</v>
      </c>
    </row>
    <row r="17" spans="2:6" x14ac:dyDescent="0.2">
      <c r="B17" t="s">
        <v>130</v>
      </c>
      <c r="C17" s="1">
        <f>C15+C16</f>
        <v>218823085.23551464</v>
      </c>
      <c r="D17" s="1"/>
      <c r="E17" s="94" t="s">
        <v>128</v>
      </c>
      <c r="F17" s="96">
        <f>(F14*D30/(D29*1.8+D30))</f>
        <v>11379819.627379859</v>
      </c>
    </row>
    <row r="18" spans="2:6" x14ac:dyDescent="0.2">
      <c r="B18" t="s">
        <v>132</v>
      </c>
      <c r="C18" s="1">
        <f>C17*4.3%</f>
        <v>9409392.6651271284</v>
      </c>
      <c r="D18" s="1"/>
      <c r="E18" s="94"/>
      <c r="F18" s="110"/>
    </row>
    <row r="19" spans="2:6" x14ac:dyDescent="0.2">
      <c r="C19" s="1"/>
      <c r="D19" s="1"/>
      <c r="E19" s="94" t="s">
        <v>131</v>
      </c>
      <c r="F19" s="110">
        <f>F16/D29</f>
        <v>26711.44986540229</v>
      </c>
    </row>
    <row r="20" spans="2:6" x14ac:dyDescent="0.2">
      <c r="B20" t="s">
        <v>134</v>
      </c>
      <c r="D20"/>
      <c r="E20" s="94" t="s">
        <v>133</v>
      </c>
      <c r="F20" s="110">
        <f>F17/D30</f>
        <v>14839.694369667939</v>
      </c>
    </row>
    <row r="21" spans="2:6" x14ac:dyDescent="0.2">
      <c r="B21" t="s">
        <v>344</v>
      </c>
      <c r="C21" s="1">
        <f>C7+C12+C18</f>
        <v>228232477.90064177</v>
      </c>
      <c r="D21" s="1"/>
    </row>
    <row r="22" spans="2:6" x14ac:dyDescent="0.2">
      <c r="B22" s="2" t="s">
        <v>390</v>
      </c>
      <c r="C22" s="1">
        <f>C21*4.4%</f>
        <v>10042229.027628239</v>
      </c>
      <c r="D22" s="1"/>
    </row>
    <row r="23" spans="2:6" x14ac:dyDescent="0.2">
      <c r="B23" s="2" t="s">
        <v>342</v>
      </c>
      <c r="C23" s="1">
        <f>C21+C22</f>
        <v>238274706.92827001</v>
      </c>
      <c r="D23" s="1"/>
      <c r="E23" s="66"/>
    </row>
    <row r="24" spans="2:6" x14ac:dyDescent="0.2">
      <c r="B24" s="2" t="s">
        <v>392</v>
      </c>
      <c r="C24" s="1">
        <f>C23*4.1%</f>
        <v>9769262.9840590693</v>
      </c>
      <c r="D24" s="1"/>
    </row>
    <row r="25" spans="2:6" x14ac:dyDescent="0.2">
      <c r="B25" s="2" t="s">
        <v>391</v>
      </c>
      <c r="C25" s="1">
        <f>C23+C24</f>
        <v>248043969.91232908</v>
      </c>
      <c r="D25" s="1"/>
    </row>
    <row r="26" spans="2:6" x14ac:dyDescent="0.2">
      <c r="C26" s="1"/>
    </row>
    <row r="28" spans="2:6" x14ac:dyDescent="0.2">
      <c r="B28" s="50" t="s">
        <v>22</v>
      </c>
      <c r="C28" s="2" t="s">
        <v>77</v>
      </c>
      <c r="D28" s="87" t="s">
        <v>26</v>
      </c>
    </row>
    <row r="29" spans="2:6" x14ac:dyDescent="0.2">
      <c r="B29" s="88" t="s">
        <v>23</v>
      </c>
      <c r="C29" s="10">
        <f>'Beregning, komm.tilskudd'!B34</f>
        <v>804612</v>
      </c>
      <c r="D29" s="10">
        <f>'Beregning, komm.tilskudd'!C34</f>
        <v>372.50555555555553</v>
      </c>
    </row>
    <row r="30" spans="2:6" x14ac:dyDescent="0.2">
      <c r="B30" s="88" t="s">
        <v>24</v>
      </c>
      <c r="C30" s="10">
        <f>'Beregning, komm.tilskudd'!B35</f>
        <v>1656396</v>
      </c>
      <c r="D30" s="10">
        <f>'Beregning, komm.tilskudd'!C35</f>
        <v>766.85</v>
      </c>
    </row>
    <row r="31" spans="2:6" x14ac:dyDescent="0.2">
      <c r="B31" s="88" t="s">
        <v>0</v>
      </c>
      <c r="C31" s="89">
        <f>C29+C30</f>
        <v>2461008</v>
      </c>
      <c r="D31" s="171">
        <f>D29+D30</f>
        <v>1139.3555555555556</v>
      </c>
    </row>
    <row r="32" spans="2:6" x14ac:dyDescent="0.2">
      <c r="D32" s="79"/>
    </row>
    <row r="33" spans="2:5" x14ac:dyDescent="0.2">
      <c r="B33" s="50" t="s">
        <v>135</v>
      </c>
      <c r="D33" s="79"/>
    </row>
    <row r="34" spans="2:5" x14ac:dyDescent="0.2">
      <c r="B34" s="88" t="s">
        <v>23</v>
      </c>
      <c r="C34" s="77">
        <f>'Beregning, komm.tilskudd'!B39*1.043</f>
        <v>115709329.78927737</v>
      </c>
      <c r="D34" s="79"/>
    </row>
    <row r="35" spans="2:5" x14ac:dyDescent="0.2">
      <c r="B35" s="88" t="s">
        <v>24</v>
      </c>
      <c r="C35" s="77">
        <f>'Beregning, komm.tilskudd'!B40*1.043</f>
        <v>132334640.12305166</v>
      </c>
      <c r="D35" s="79"/>
    </row>
    <row r="36" spans="2:5" x14ac:dyDescent="0.2">
      <c r="B36" s="88" t="s">
        <v>0</v>
      </c>
      <c r="C36" s="90">
        <f>C34+C35</f>
        <v>248043969.91232902</v>
      </c>
      <c r="D36" s="79"/>
    </row>
    <row r="37" spans="2:5" x14ac:dyDescent="0.2">
      <c r="C37" s="79"/>
      <c r="D37" s="79"/>
      <c r="E37" s="99"/>
    </row>
    <row r="38" spans="2:5" x14ac:dyDescent="0.2">
      <c r="B38" s="50" t="s">
        <v>31</v>
      </c>
      <c r="C38" s="87"/>
      <c r="D38" s="79"/>
    </row>
    <row r="39" spans="2:5" x14ac:dyDescent="0.2">
      <c r="B39" s="88" t="s">
        <v>32</v>
      </c>
      <c r="C39" s="77">
        <f>'Beregning, komm.tilskudd'!B43</f>
        <v>9213031.3573082667</v>
      </c>
      <c r="D39" s="79"/>
    </row>
    <row r="40" spans="2:5" x14ac:dyDescent="0.2">
      <c r="B40" s="88" t="s">
        <v>36</v>
      </c>
      <c r="C40" s="77">
        <f>'Beregning, komm.tilskudd'!B44</f>
        <v>18966195.244565066</v>
      </c>
      <c r="D40" s="79"/>
    </row>
    <row r="41" spans="2:5" x14ac:dyDescent="0.2">
      <c r="B41" s="88" t="s">
        <v>136</v>
      </c>
      <c r="C41" s="41">
        <f>C39+C40</f>
        <v>28179226.601873331</v>
      </c>
      <c r="D41" s="79"/>
    </row>
    <row r="42" spans="2:5" x14ac:dyDescent="0.2">
      <c r="C42" s="71"/>
    </row>
    <row r="43" spans="2:5" x14ac:dyDescent="0.2">
      <c r="B43" s="50" t="s">
        <v>137</v>
      </c>
      <c r="C43" s="79"/>
    </row>
    <row r="44" spans="2:5" x14ac:dyDescent="0.2">
      <c r="B44" s="88" t="s">
        <v>138</v>
      </c>
      <c r="C44" s="41">
        <f>C34-C39</f>
        <v>106496298.43196911</v>
      </c>
    </row>
    <row r="45" spans="2:5" x14ac:dyDescent="0.2">
      <c r="B45" s="88" t="s">
        <v>139</v>
      </c>
      <c r="C45" s="41">
        <f>C35-C40</f>
        <v>113368444.87848659</v>
      </c>
    </row>
    <row r="46" spans="2:5" x14ac:dyDescent="0.2">
      <c r="B46" s="88" t="s">
        <v>140</v>
      </c>
      <c r="C46" s="41">
        <f>C36-C41</f>
        <v>219864743.31045568</v>
      </c>
    </row>
    <row r="47" spans="2:5" x14ac:dyDescent="0.2">
      <c r="C47" s="71"/>
    </row>
    <row r="48" spans="2:5" x14ac:dyDescent="0.2">
      <c r="B48" s="50" t="s">
        <v>343</v>
      </c>
    </row>
    <row r="49" spans="2:3" x14ac:dyDescent="0.2">
      <c r="B49" s="88" t="s">
        <v>23</v>
      </c>
      <c r="C49" s="91">
        <f>C44/D29</f>
        <v>285891.83931267902</v>
      </c>
    </row>
    <row r="50" spans="2:3" x14ac:dyDescent="0.2">
      <c r="B50" s="88" t="s">
        <v>24</v>
      </c>
      <c r="C50" s="91">
        <f>C45/D30</f>
        <v>147836.53240984102</v>
      </c>
    </row>
  </sheetData>
  <sheetProtection algorithmName="SHA-512" hashValue="ecDnTq+NjA0xohfl+h9gZtVMdxSB4aTUb4opiDggfTh/gmjfuhkmjHx8eetogHRAYh0gWwqCq569fHrKZ1kVKg==" saltValue="QkEhAnHH+8Qq/MWrweje4A==" spinCount="100000" sheet="1" objects="1" scenarios="1"/>
  <pageMargins left="0.7" right="0.7" top="0.75" bottom="0.75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B7:N49"/>
  <sheetViews>
    <sheetView showRowColHeaders="0" tabSelected="1" zoomScale="85" zoomScaleNormal="85" workbookViewId="0">
      <selection activeCell="R23" sqref="R23"/>
    </sheetView>
  </sheetViews>
  <sheetFormatPr baseColWidth="10" defaultColWidth="10.7109375" defaultRowHeight="12.75" x14ac:dyDescent="0.2"/>
  <cols>
    <col min="1" max="16384" width="10.7109375" style="11"/>
  </cols>
  <sheetData>
    <row r="7" spans="2:2" x14ac:dyDescent="0.2">
      <c r="B7" s="187"/>
    </row>
    <row r="8" spans="2:2" x14ac:dyDescent="0.2">
      <c r="B8" s="187"/>
    </row>
    <row r="9" spans="2:2" x14ac:dyDescent="0.2">
      <c r="B9" s="187"/>
    </row>
    <row r="10" spans="2:2" x14ac:dyDescent="0.2">
      <c r="B10" s="187"/>
    </row>
    <row r="11" spans="2:2" x14ac:dyDescent="0.2">
      <c r="B11" s="187"/>
    </row>
    <row r="12" spans="2:2" x14ac:dyDescent="0.2">
      <c r="B12" s="187"/>
    </row>
    <row r="29" spans="2:13" x14ac:dyDescent="0.2">
      <c r="B29" s="12" t="s">
        <v>59</v>
      </c>
      <c r="C29" s="42">
        <f ca="1">TODAY()</f>
        <v>45595</v>
      </c>
      <c r="E29" s="12" t="s">
        <v>60</v>
      </c>
      <c r="F29" s="9" t="s">
        <v>397</v>
      </c>
      <c r="G29" s="9"/>
      <c r="H29" s="9"/>
      <c r="I29" s="9"/>
      <c r="J29" s="9"/>
      <c r="K29" s="9"/>
      <c r="L29" s="9"/>
      <c r="M29" s="9"/>
    </row>
    <row r="31" spans="2:13" x14ac:dyDescent="0.2">
      <c r="E31" s="12" t="s">
        <v>97</v>
      </c>
      <c r="F31" s="157" t="s">
        <v>351</v>
      </c>
      <c r="G31" s="9"/>
      <c r="H31" s="9"/>
      <c r="I31" s="9"/>
      <c r="J31" s="9"/>
      <c r="K31" s="9"/>
      <c r="L31" s="9"/>
      <c r="M31" s="9"/>
    </row>
    <row r="33" spans="2:14" ht="26.25" x14ac:dyDescent="0.4">
      <c r="B33" s="43" t="s">
        <v>345</v>
      </c>
      <c r="D33" s="30"/>
    </row>
    <row r="35" spans="2:14" ht="12.75" customHeight="1" x14ac:dyDescent="0.2">
      <c r="B35" s="44" t="s">
        <v>78</v>
      </c>
      <c r="C35" s="45"/>
      <c r="D35" s="45"/>
      <c r="E35" s="45"/>
      <c r="F35" s="186" t="s">
        <v>79</v>
      </c>
      <c r="G35" s="186"/>
      <c r="H35" s="186" t="s">
        <v>82</v>
      </c>
      <c r="I35" s="186"/>
      <c r="J35" s="178" t="s">
        <v>83</v>
      </c>
      <c r="K35" s="179"/>
      <c r="L35" s="178" t="s">
        <v>84</v>
      </c>
      <c r="M35" s="179"/>
    </row>
    <row r="36" spans="2:14" x14ac:dyDescent="0.2">
      <c r="B36" s="46" t="s">
        <v>87</v>
      </c>
      <c r="C36" s="47"/>
      <c r="D36" s="47"/>
      <c r="E36" s="47"/>
      <c r="F36" s="48" t="s">
        <v>80</v>
      </c>
      <c r="G36" s="48" t="s">
        <v>81</v>
      </c>
      <c r="H36" s="48" t="s">
        <v>80</v>
      </c>
      <c r="I36" s="48" t="s">
        <v>81</v>
      </c>
      <c r="J36" s="180"/>
      <c r="K36" s="181"/>
      <c r="L36" s="180"/>
      <c r="M36" s="181"/>
    </row>
    <row r="37" spans="2:14" x14ac:dyDescent="0.2">
      <c r="B37" s="55" t="s">
        <v>38</v>
      </c>
      <c r="C37" s="45"/>
      <c r="D37" s="45"/>
      <c r="E37" s="56"/>
      <c r="F37" s="53">
        <f>'Beregning, komm.tilskudd'!C51+'Beregning, komm.tilskudd'!C55</f>
        <v>132.3573330151292</v>
      </c>
      <c r="G37" s="53">
        <f>G43/45/48</f>
        <v>142.68518518518519</v>
      </c>
      <c r="H37" s="53"/>
      <c r="I37" s="53">
        <f>'Beregning, komm.tilskudd'!C59</f>
        <v>0</v>
      </c>
      <c r="J37" s="182">
        <f>F37+I37</f>
        <v>132.3573330151292</v>
      </c>
      <c r="K37" s="183"/>
      <c r="L37" s="182">
        <f>G37+I37-J37</f>
        <v>10.327852170055991</v>
      </c>
      <c r="M37" s="183"/>
      <c r="N37" s="49"/>
    </row>
    <row r="38" spans="2:14" x14ac:dyDescent="0.2">
      <c r="B38" s="57" t="s">
        <v>39</v>
      </c>
      <c r="C38" s="47"/>
      <c r="D38" s="47"/>
      <c r="E38" s="58"/>
      <c r="F38" s="53">
        <f>'Beregning, komm.tilskudd'!C52+'Beregning, komm.tilskudd'!C56</f>
        <v>68.442839078630101</v>
      </c>
      <c r="G38" s="53">
        <f>G44/45/48</f>
        <v>73.842592592592595</v>
      </c>
      <c r="H38" s="53">
        <f>H37</f>
        <v>0</v>
      </c>
      <c r="I38" s="53">
        <f>'Beregning, komm.tilskudd'!C60</f>
        <v>0</v>
      </c>
      <c r="J38" s="182">
        <f>F38+I38</f>
        <v>68.442839078630101</v>
      </c>
      <c r="K38" s="183"/>
      <c r="L38" s="182">
        <f>G38+I38-J38</f>
        <v>5.3997535139624944</v>
      </c>
      <c r="M38" s="183"/>
    </row>
    <row r="41" spans="2:14" x14ac:dyDescent="0.2">
      <c r="B41" s="44" t="s">
        <v>78</v>
      </c>
      <c r="C41" s="45"/>
      <c r="D41" s="45"/>
      <c r="E41" s="45"/>
      <c r="F41" s="186" t="s">
        <v>79</v>
      </c>
      <c r="G41" s="186"/>
      <c r="H41" s="186" t="s">
        <v>82</v>
      </c>
      <c r="I41" s="186"/>
      <c r="J41" s="178" t="s">
        <v>89</v>
      </c>
      <c r="K41" s="179"/>
      <c r="L41" s="178" t="s">
        <v>84</v>
      </c>
      <c r="M41" s="179"/>
    </row>
    <row r="42" spans="2:14" x14ac:dyDescent="0.2">
      <c r="B42" s="51" t="s">
        <v>88</v>
      </c>
      <c r="C42" s="47"/>
      <c r="D42" s="47"/>
      <c r="E42" s="47"/>
      <c r="F42" s="48" t="s">
        <v>80</v>
      </c>
      <c r="G42" s="48" t="s">
        <v>81</v>
      </c>
      <c r="H42" s="48" t="s">
        <v>80</v>
      </c>
      <c r="I42" s="48" t="s">
        <v>81</v>
      </c>
      <c r="J42" s="180"/>
      <c r="K42" s="181"/>
      <c r="L42" s="180"/>
      <c r="M42" s="181"/>
    </row>
    <row r="43" spans="2:14" x14ac:dyDescent="0.2">
      <c r="B43" s="59" t="s">
        <v>38</v>
      </c>
      <c r="C43" s="60"/>
      <c r="D43" s="61"/>
      <c r="E43" s="56"/>
      <c r="F43" s="54">
        <f>F37*2160</f>
        <v>285891.83931267908</v>
      </c>
      <c r="G43" s="54">
        <f>'Beregning, komm.tilskudd'!C63-'Beregning, komm.tilskudd'!B59</f>
        <v>308200</v>
      </c>
      <c r="H43" s="54">
        <f>H37*2160</f>
        <v>0</v>
      </c>
      <c r="I43" s="54">
        <f>'Beregning, komm.tilskudd'!B59</f>
        <v>0</v>
      </c>
      <c r="J43" s="184">
        <f>F43+I43</f>
        <v>285891.83931267908</v>
      </c>
      <c r="K43" s="184"/>
      <c r="L43" s="185">
        <f>G43+I43-J43</f>
        <v>22308.160687320924</v>
      </c>
      <c r="M43" s="185"/>
      <c r="N43" s="49"/>
    </row>
    <row r="44" spans="2:14" x14ac:dyDescent="0.2">
      <c r="B44" s="62" t="s">
        <v>39</v>
      </c>
      <c r="C44" s="63"/>
      <c r="D44" s="64"/>
      <c r="E44" s="65"/>
      <c r="F44" s="54">
        <f>F38*2160</f>
        <v>147836.53240984102</v>
      </c>
      <c r="G44" s="54">
        <f>'Beregning, komm.tilskudd'!C64-'Beregning, komm.tilskudd'!B60</f>
        <v>159500</v>
      </c>
      <c r="H44" s="54">
        <f>H38*2160</f>
        <v>0</v>
      </c>
      <c r="I44" s="54">
        <f>'Beregning, komm.tilskudd'!B60</f>
        <v>0</v>
      </c>
      <c r="J44" s="184">
        <f>F44+I44</f>
        <v>147836.53240984102</v>
      </c>
      <c r="K44" s="184"/>
      <c r="L44" s="185">
        <f>G44+I44-J44</f>
        <v>11663.46759015898</v>
      </c>
      <c r="M44" s="185"/>
    </row>
    <row r="46" spans="2:14" x14ac:dyDescent="0.2">
      <c r="B46" s="14" t="s">
        <v>90</v>
      </c>
    </row>
    <row r="48" spans="2:14" x14ac:dyDescent="0.2">
      <c r="B48" s="81"/>
      <c r="C48" s="45"/>
      <c r="D48" s="45"/>
      <c r="E48" s="56"/>
      <c r="F48" s="82">
        <v>2024</v>
      </c>
      <c r="G48" s="82">
        <f>F48+1</f>
        <v>2025</v>
      </c>
    </row>
    <row r="49" spans="2:7" ht="15.75" x14ac:dyDescent="0.25">
      <c r="B49" s="83" t="s">
        <v>98</v>
      </c>
      <c r="C49" s="47"/>
      <c r="D49" s="47"/>
      <c r="E49" s="58"/>
      <c r="F49" s="152">
        <v>1.044</v>
      </c>
      <c r="G49" s="152">
        <v>1.0409999999999999</v>
      </c>
    </row>
  </sheetData>
  <sheetProtection algorithmName="SHA-512" hashValue="+O2C+Lj9uN8nw9GOFR5UXHTyJ8SjEVk5SO3TCaIJ6UEte0HBX1ewdEK6SiWswv0ElM4No24cjqvUSiIHdK645w==" saltValue="EiYzNkS+PfSiwX2NESyfCQ==" spinCount="100000" sheet="1" objects="1" scenarios="1"/>
  <mergeCells count="17">
    <mergeCell ref="F41:G41"/>
    <mergeCell ref="H41:I41"/>
    <mergeCell ref="J41:K42"/>
    <mergeCell ref="B7:B12"/>
    <mergeCell ref="F35:G35"/>
    <mergeCell ref="H35:I35"/>
    <mergeCell ref="J35:K36"/>
    <mergeCell ref="J38:K38"/>
    <mergeCell ref="J37:K37"/>
    <mergeCell ref="L35:M36"/>
    <mergeCell ref="L37:M37"/>
    <mergeCell ref="L38:M38"/>
    <mergeCell ref="L41:M42"/>
    <mergeCell ref="J44:K44"/>
    <mergeCell ref="L44:M44"/>
    <mergeCell ref="J43:K43"/>
    <mergeCell ref="L43:M43"/>
  </mergeCells>
  <phoneticPr fontId="23" type="noConversion"/>
  <hyperlinks>
    <hyperlink ref="F31" r:id="rId1" display="Årsregnskap 2022 Sandefjord kommune" xr:uid="{00000000-0004-0000-0200-000000000000}"/>
  </hyperlinks>
  <pageMargins left="0.7" right="0.7" top="0.75" bottom="0.75" header="0.3" footer="0.3"/>
  <pageSetup paperSize="9" scale="7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K324"/>
  <sheetViews>
    <sheetView zoomScale="90" zoomScaleNormal="90" workbookViewId="0">
      <pane ySplit="4" topLeftCell="A8" activePane="bottomLeft" state="frozen"/>
      <selection pane="bottomLeft"/>
    </sheetView>
  </sheetViews>
  <sheetFormatPr baseColWidth="10" defaultColWidth="9.140625" defaultRowHeight="12.75" x14ac:dyDescent="0.2"/>
  <cols>
    <col min="1" max="1" width="51.140625" style="14" bestFit="1" customWidth="1"/>
    <col min="2" max="3" width="13.7109375" style="4" customWidth="1"/>
    <col min="4" max="12" width="13.7109375" style="1" customWidth="1"/>
    <col min="13" max="13" width="14.85546875" style="115" customWidth="1"/>
    <col min="14" max="14" width="13.42578125" style="131" customWidth="1"/>
    <col min="15" max="15" width="14.85546875" style="135" bestFit="1" customWidth="1"/>
    <col min="16" max="37" width="9.140625" style="14" customWidth="1"/>
  </cols>
  <sheetData>
    <row r="1" spans="1:15" x14ac:dyDescent="0.2"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</row>
    <row r="2" spans="1:15" ht="40.5" x14ac:dyDescent="0.55000000000000004">
      <c r="B2" s="18"/>
      <c r="C2" s="18"/>
      <c r="D2" s="20" t="s">
        <v>72</v>
      </c>
      <c r="E2" s="19"/>
      <c r="F2" s="19"/>
      <c r="G2" s="19"/>
      <c r="H2" s="19"/>
      <c r="I2" s="19"/>
      <c r="J2" s="19"/>
      <c r="K2" s="19"/>
      <c r="L2" s="19"/>
    </row>
    <row r="3" spans="1:15" x14ac:dyDescent="0.2">
      <c r="B3" s="18"/>
      <c r="C3" s="18"/>
      <c r="D3" s="19"/>
      <c r="E3" s="19"/>
      <c r="F3" s="19"/>
      <c r="G3" s="19"/>
      <c r="H3" s="19"/>
      <c r="I3" s="19"/>
      <c r="J3" s="19"/>
      <c r="K3" s="19"/>
      <c r="L3" s="19"/>
    </row>
    <row r="4" spans="1:15" ht="13.5" thickBot="1" x14ac:dyDescent="0.25">
      <c r="B4" s="18"/>
      <c r="C4" s="18"/>
      <c r="D4" s="19"/>
      <c r="E4" s="19"/>
      <c r="F4" s="19"/>
      <c r="G4" s="19"/>
      <c r="H4" s="19"/>
      <c r="I4" s="19"/>
      <c r="J4" s="19"/>
      <c r="K4" s="19"/>
      <c r="L4" s="19"/>
    </row>
    <row r="5" spans="1:15" s="16" customFormat="1" x14ac:dyDescent="0.2">
      <c r="A5" s="85" t="s">
        <v>350</v>
      </c>
      <c r="B5" s="21" t="s">
        <v>42</v>
      </c>
      <c r="C5" s="21" t="s">
        <v>3</v>
      </c>
      <c r="D5" s="21" t="s">
        <v>4</v>
      </c>
      <c r="E5" s="21" t="s">
        <v>86</v>
      </c>
      <c r="F5" s="21" t="s">
        <v>5</v>
      </c>
      <c r="G5" s="21" t="s">
        <v>6</v>
      </c>
      <c r="H5" s="21" t="s">
        <v>47</v>
      </c>
      <c r="I5" s="21" t="s">
        <v>48</v>
      </c>
      <c r="J5" s="21" t="s">
        <v>49</v>
      </c>
      <c r="K5" s="21" t="s">
        <v>222</v>
      </c>
      <c r="L5" s="21" t="s">
        <v>100</v>
      </c>
      <c r="M5" s="116"/>
      <c r="N5" s="132"/>
      <c r="O5" s="136"/>
    </row>
    <row r="6" spans="1:15" s="23" customFormat="1" ht="78" customHeight="1" x14ac:dyDescent="0.2">
      <c r="A6" s="17" t="s">
        <v>74</v>
      </c>
      <c r="B6" s="22" t="s">
        <v>196</v>
      </c>
      <c r="C6" s="22" t="s">
        <v>96</v>
      </c>
      <c r="D6" s="22" t="s">
        <v>243</v>
      </c>
      <c r="E6" s="22" t="s">
        <v>76</v>
      </c>
      <c r="F6" s="22" t="s">
        <v>251</v>
      </c>
      <c r="G6" s="22" t="s">
        <v>85</v>
      </c>
      <c r="H6" s="22" t="s">
        <v>99</v>
      </c>
      <c r="I6" s="22" t="s">
        <v>275</v>
      </c>
      <c r="J6" s="22" t="s">
        <v>46</v>
      </c>
      <c r="K6" s="22" t="s">
        <v>225</v>
      </c>
      <c r="L6" s="22" t="s">
        <v>220</v>
      </c>
      <c r="M6" s="117" t="s">
        <v>119</v>
      </c>
      <c r="N6" s="133"/>
      <c r="O6" s="137"/>
    </row>
    <row r="7" spans="1:15" x14ac:dyDescent="0.2">
      <c r="A7" s="15" t="s">
        <v>231</v>
      </c>
      <c r="B7" s="154">
        <v>-750000</v>
      </c>
      <c r="C7" s="154">
        <v>-173000</v>
      </c>
      <c r="D7" s="112"/>
      <c r="E7" s="112"/>
      <c r="F7" s="112"/>
      <c r="G7" s="112">
        <f>C7*-1</f>
        <v>173000</v>
      </c>
      <c r="H7" s="112">
        <v>0</v>
      </c>
      <c r="I7" s="112">
        <v>-67889.5</v>
      </c>
      <c r="J7" s="24">
        <f>SUM(B7:I7)</f>
        <v>-817889.5</v>
      </c>
      <c r="K7" s="112"/>
      <c r="L7" s="112"/>
      <c r="M7" s="115">
        <f>B7+C7+D7+K7+L7</f>
        <v>-923000</v>
      </c>
      <c r="N7" s="146"/>
      <c r="O7" s="137"/>
    </row>
    <row r="8" spans="1:15" x14ac:dyDescent="0.2">
      <c r="A8" s="15" t="s">
        <v>264</v>
      </c>
      <c r="B8" s="154"/>
      <c r="C8" s="154">
        <v>3334134.85</v>
      </c>
      <c r="D8" s="112"/>
      <c r="E8" s="112"/>
      <c r="F8" s="112"/>
      <c r="G8" s="112">
        <f t="shared" ref="G8:G49" si="0">C8*-1</f>
        <v>-3334134.85</v>
      </c>
      <c r="H8" s="112"/>
      <c r="I8" s="112"/>
      <c r="J8" s="24">
        <f t="shared" ref="J8:J46" si="1">SUM(B8:I8)</f>
        <v>0</v>
      </c>
      <c r="K8" s="112"/>
      <c r="L8" s="112"/>
      <c r="M8" s="115">
        <f>B8+C8+D8+K8+L8</f>
        <v>3334134.85</v>
      </c>
      <c r="N8" s="146"/>
      <c r="O8" s="137"/>
    </row>
    <row r="9" spans="1:15" x14ac:dyDescent="0.2">
      <c r="A9" s="15" t="s">
        <v>347</v>
      </c>
      <c r="B9" s="154">
        <v>1259.6399999999999</v>
      </c>
      <c r="C9" s="154"/>
      <c r="D9" s="112"/>
      <c r="E9" s="112">
        <v>-1259.6400000000001</v>
      </c>
      <c r="F9" s="112"/>
      <c r="G9" s="112">
        <f t="shared" si="0"/>
        <v>0</v>
      </c>
      <c r="H9" s="112"/>
      <c r="I9" s="112"/>
      <c r="J9" s="24">
        <f t="shared" si="1"/>
        <v>-2.2737367544323206E-13</v>
      </c>
      <c r="K9" s="112"/>
      <c r="L9" s="112"/>
      <c r="N9" s="146"/>
      <c r="O9" s="137"/>
    </row>
    <row r="10" spans="1:15" x14ac:dyDescent="0.2">
      <c r="A10" s="15" t="s">
        <v>348</v>
      </c>
      <c r="B10" s="154">
        <v>5772.51</v>
      </c>
      <c r="C10" s="154"/>
      <c r="D10" s="112"/>
      <c r="E10" s="112">
        <v>-5772.51</v>
      </c>
      <c r="F10" s="112"/>
      <c r="G10" s="112">
        <f t="shared" si="0"/>
        <v>0</v>
      </c>
      <c r="H10" s="112"/>
      <c r="I10" s="112"/>
      <c r="J10" s="24">
        <f t="shared" si="1"/>
        <v>0</v>
      </c>
      <c r="K10" s="112"/>
      <c r="L10" s="112"/>
      <c r="N10" s="146"/>
      <c r="O10" s="137"/>
    </row>
    <row r="11" spans="1:15" x14ac:dyDescent="0.2">
      <c r="A11" s="15" t="s">
        <v>167</v>
      </c>
      <c r="B11" s="154">
        <v>7929</v>
      </c>
      <c r="C11" s="154">
        <v>-149008.74</v>
      </c>
      <c r="D11" s="112"/>
      <c r="E11" s="112"/>
      <c r="F11" s="112"/>
      <c r="G11" s="112">
        <f t="shared" si="0"/>
        <v>149008.74</v>
      </c>
      <c r="H11" s="112"/>
      <c r="I11" s="112"/>
      <c r="J11" s="24">
        <f t="shared" si="1"/>
        <v>7929</v>
      </c>
      <c r="K11" s="112"/>
      <c r="L11" s="112"/>
      <c r="M11" s="115">
        <f t="shared" ref="M11:M41" si="2">B11+C11+D11+K11+L11</f>
        <v>-141079.74</v>
      </c>
      <c r="N11" s="146"/>
      <c r="O11" s="137"/>
    </row>
    <row r="12" spans="1:15" x14ac:dyDescent="0.2">
      <c r="A12" s="15" t="s">
        <v>168</v>
      </c>
      <c r="B12" s="154"/>
      <c r="C12" s="154">
        <v>100696.79000000004</v>
      </c>
      <c r="D12" s="112"/>
      <c r="E12" s="112"/>
      <c r="F12" s="112"/>
      <c r="G12" s="112">
        <f t="shared" si="0"/>
        <v>-100696.79000000004</v>
      </c>
      <c r="H12" s="112"/>
      <c r="I12" s="112"/>
      <c r="J12" s="24">
        <f t="shared" si="1"/>
        <v>0</v>
      </c>
      <c r="K12" s="112"/>
      <c r="L12" s="112"/>
      <c r="M12" s="115">
        <f t="shared" si="2"/>
        <v>100696.79000000004</v>
      </c>
      <c r="N12" s="146"/>
      <c r="O12" s="137"/>
    </row>
    <row r="13" spans="1:15" x14ac:dyDescent="0.2">
      <c r="A13" s="15" t="s">
        <v>1</v>
      </c>
      <c r="B13" s="154">
        <v>2215844.2999999998</v>
      </c>
      <c r="C13" s="154">
        <v>159000</v>
      </c>
      <c r="D13" s="112">
        <v>541715.35000000009</v>
      </c>
      <c r="E13" s="112"/>
      <c r="F13" s="112">
        <v>-62700.416173331803</v>
      </c>
      <c r="G13" s="112">
        <f t="shared" si="0"/>
        <v>-159000</v>
      </c>
      <c r="H13" s="112">
        <v>0</v>
      </c>
      <c r="I13" s="112">
        <v>1200.4050240000001</v>
      </c>
      <c r="J13" s="24">
        <f>SUM(B13:I13)</f>
        <v>2696059.638850668</v>
      </c>
      <c r="K13" s="112">
        <v>6508857</v>
      </c>
      <c r="L13" s="112">
        <v>-1990330.6400000001</v>
      </c>
      <c r="M13" s="115">
        <f>B13+C13+D13+K13+L13</f>
        <v>7435086.0099999998</v>
      </c>
      <c r="N13" s="146"/>
      <c r="O13" s="147"/>
    </row>
    <row r="14" spans="1:15" x14ac:dyDescent="0.2">
      <c r="A14" s="15" t="s">
        <v>169</v>
      </c>
      <c r="B14" s="154">
        <v>6301835.3099999959</v>
      </c>
      <c r="C14" s="154">
        <v>384521.55000000005</v>
      </c>
      <c r="D14" s="112">
        <v>15168.47</v>
      </c>
      <c r="E14" s="112"/>
      <c r="F14" s="112"/>
      <c r="G14" s="112">
        <f t="shared" si="0"/>
        <v>-384521.55000000005</v>
      </c>
      <c r="H14" s="112">
        <v>-550830.4265099999</v>
      </c>
      <c r="I14" s="112">
        <v>597566.12652800023</v>
      </c>
      <c r="J14" s="24">
        <f>SUM(B14:I14)</f>
        <v>6363739.4800179964</v>
      </c>
      <c r="K14" s="112">
        <v>-1667961</v>
      </c>
      <c r="L14" s="112">
        <v>-219124</v>
      </c>
      <c r="M14" s="115">
        <f>B14+C14+D14+K14+L14</f>
        <v>4814440.3299999954</v>
      </c>
      <c r="N14" s="146"/>
      <c r="O14" s="147"/>
    </row>
    <row r="15" spans="1:15" x14ac:dyDescent="0.2">
      <c r="A15" s="15" t="s">
        <v>170</v>
      </c>
      <c r="B15" s="154">
        <v>6688132.2300000004</v>
      </c>
      <c r="C15" s="154">
        <v>215451.06</v>
      </c>
      <c r="D15" s="112">
        <v>16897.77</v>
      </c>
      <c r="E15" s="112"/>
      <c r="F15" s="112"/>
      <c r="G15" s="112">
        <f t="shared" si="0"/>
        <v>-215451.06</v>
      </c>
      <c r="H15" s="112">
        <v>-583167.81558000005</v>
      </c>
      <c r="I15" s="112">
        <v>628887.51100700023</v>
      </c>
      <c r="J15" s="24">
        <f>SUM(B15:I15)</f>
        <v>6750749.6954270005</v>
      </c>
      <c r="K15" s="112">
        <v>-1255682</v>
      </c>
      <c r="L15" s="112">
        <v>-208000</v>
      </c>
      <c r="M15" s="115">
        <f>B15+C15+D15+K15+L15</f>
        <v>5456799.0599999996</v>
      </c>
      <c r="N15" s="146"/>
      <c r="O15" s="147"/>
    </row>
    <row r="16" spans="1:15" x14ac:dyDescent="0.2">
      <c r="A16" s="15" t="s">
        <v>171</v>
      </c>
      <c r="B16" s="154">
        <v>7510320.5099999988</v>
      </c>
      <c r="C16" s="154">
        <v>310328.87999999995</v>
      </c>
      <c r="D16" s="112">
        <v>18008.250000000004</v>
      </c>
      <c r="E16" s="112"/>
      <c r="F16" s="112"/>
      <c r="G16" s="112">
        <f t="shared" si="0"/>
        <v>-310328.87999999995</v>
      </c>
      <c r="H16" s="112">
        <v>-626672.21729000006</v>
      </c>
      <c r="I16" s="112">
        <v>684885.06858100009</v>
      </c>
      <c r="J16" s="24">
        <f t="shared" si="1"/>
        <v>7586541.6112909988</v>
      </c>
      <c r="K16" s="148">
        <v>-1388244</v>
      </c>
      <c r="L16" s="112">
        <v>-227526</v>
      </c>
      <c r="M16" s="115">
        <f t="shared" si="2"/>
        <v>6222887.6399999987</v>
      </c>
      <c r="N16" s="146"/>
      <c r="O16" s="147"/>
    </row>
    <row r="17" spans="1:15" x14ac:dyDescent="0.2">
      <c r="A17" s="15" t="s">
        <v>172</v>
      </c>
      <c r="B17" s="154">
        <v>8133741.1999999974</v>
      </c>
      <c r="C17" s="154">
        <v>1663419.0599999998</v>
      </c>
      <c r="D17" s="112">
        <v>11715.51</v>
      </c>
      <c r="E17" s="112"/>
      <c r="F17" s="112"/>
      <c r="G17" s="112">
        <f t="shared" si="0"/>
        <v>-1663419.0599999998</v>
      </c>
      <c r="H17" s="112">
        <v>-710631.93781999999</v>
      </c>
      <c r="I17" s="112">
        <v>784519.94751900015</v>
      </c>
      <c r="J17" s="24">
        <f t="shared" si="1"/>
        <v>8219344.7196989991</v>
      </c>
      <c r="K17" s="112">
        <v>-1404000</v>
      </c>
      <c r="L17" s="112">
        <v>-194225</v>
      </c>
      <c r="M17" s="115">
        <f t="shared" si="2"/>
        <v>8210650.7699999977</v>
      </c>
      <c r="N17" s="146"/>
      <c r="O17" s="147"/>
    </row>
    <row r="18" spans="1:15" x14ac:dyDescent="0.2">
      <c r="A18" s="15" t="s">
        <v>173</v>
      </c>
      <c r="B18" s="154">
        <v>14409253.490000006</v>
      </c>
      <c r="C18" s="154">
        <v>3881343.5599999987</v>
      </c>
      <c r="D18" s="112">
        <v>27047.99</v>
      </c>
      <c r="E18" s="112"/>
      <c r="F18" s="112"/>
      <c r="G18" s="112">
        <f t="shared" si="0"/>
        <v>-3881343.5599999987</v>
      </c>
      <c r="H18" s="112">
        <v>-1277808.2276399999</v>
      </c>
      <c r="I18" s="112">
        <v>1375378.7683020001</v>
      </c>
      <c r="J18" s="24">
        <f t="shared" si="1"/>
        <v>14533872.020662006</v>
      </c>
      <c r="K18" s="112">
        <v>-2866303</v>
      </c>
      <c r="L18" s="112">
        <v>-258294</v>
      </c>
      <c r="M18" s="115">
        <f>B18+C18+D18+K18+L18</f>
        <v>15193048.040000003</v>
      </c>
      <c r="N18" s="146"/>
      <c r="O18" s="147"/>
    </row>
    <row r="19" spans="1:15" x14ac:dyDescent="0.2">
      <c r="A19" s="15" t="s">
        <v>174</v>
      </c>
      <c r="B19" s="154">
        <v>12536896.150000002</v>
      </c>
      <c r="C19" s="154">
        <v>1863033.9100000001</v>
      </c>
      <c r="D19" s="112">
        <v>56400.810000000005</v>
      </c>
      <c r="E19" s="112"/>
      <c r="F19" s="112"/>
      <c r="G19" s="112">
        <f t="shared" si="0"/>
        <v>-1863033.9100000001</v>
      </c>
      <c r="H19" s="112">
        <v>-1031665.5690600001</v>
      </c>
      <c r="I19" s="112">
        <v>1139696.7132880001</v>
      </c>
      <c r="J19" s="24">
        <f t="shared" si="1"/>
        <v>12701328.104228003</v>
      </c>
      <c r="K19" s="112">
        <v>-2558268</v>
      </c>
      <c r="L19" s="112">
        <v>-389072.95999999996</v>
      </c>
      <c r="M19" s="115">
        <f t="shared" si="2"/>
        <v>11508989.910000004</v>
      </c>
      <c r="N19" s="146"/>
      <c r="O19" s="147"/>
    </row>
    <row r="20" spans="1:15" x14ac:dyDescent="0.2">
      <c r="A20" s="15" t="s">
        <v>175</v>
      </c>
      <c r="B20" s="154">
        <v>6304255.9499999983</v>
      </c>
      <c r="C20" s="154">
        <v>5469466.9799999995</v>
      </c>
      <c r="D20" s="112">
        <v>134381.63</v>
      </c>
      <c r="E20" s="112"/>
      <c r="F20" s="112"/>
      <c r="G20" s="112">
        <f t="shared" si="0"/>
        <v>-5469466.9799999995</v>
      </c>
      <c r="H20" s="112">
        <v>-541665.29836999997</v>
      </c>
      <c r="I20" s="112">
        <v>584954.04993899981</v>
      </c>
      <c r="J20" s="24">
        <f t="shared" si="1"/>
        <v>6481926.3315689992</v>
      </c>
      <c r="K20" s="112">
        <v>-1346107</v>
      </c>
      <c r="L20" s="112">
        <v>-183250</v>
      </c>
      <c r="M20" s="115">
        <f t="shared" si="2"/>
        <v>10378747.559999999</v>
      </c>
      <c r="N20" s="146"/>
      <c r="O20" s="147"/>
    </row>
    <row r="21" spans="1:15" x14ac:dyDescent="0.2">
      <c r="A21" s="15" t="s">
        <v>176</v>
      </c>
      <c r="B21" s="154">
        <v>9195878.1299999971</v>
      </c>
      <c r="C21" s="154">
        <v>334078.6700000001</v>
      </c>
      <c r="D21" s="112">
        <v>21681.69</v>
      </c>
      <c r="E21" s="112"/>
      <c r="F21" s="112"/>
      <c r="G21" s="112">
        <f t="shared" si="0"/>
        <v>-334078.6700000001</v>
      </c>
      <c r="H21" s="112">
        <v>-733064.91061999998</v>
      </c>
      <c r="I21" s="112">
        <v>827601.12608600024</v>
      </c>
      <c r="J21" s="24">
        <f t="shared" si="1"/>
        <v>9312096.0354659967</v>
      </c>
      <c r="K21" s="112">
        <v>-1733925</v>
      </c>
      <c r="L21" s="112">
        <v>-306871</v>
      </c>
      <c r="M21" s="115">
        <f>B21+C21+D21+K21+L21</f>
        <v>7510842.4899999965</v>
      </c>
      <c r="N21" s="146"/>
      <c r="O21" s="147"/>
    </row>
    <row r="22" spans="1:15" x14ac:dyDescent="0.2">
      <c r="A22" s="15" t="s">
        <v>177</v>
      </c>
      <c r="B22" s="154">
        <v>4858362.4400000013</v>
      </c>
      <c r="C22" s="154">
        <v>3408897.9799999991</v>
      </c>
      <c r="D22" s="112">
        <v>26702.739999999998</v>
      </c>
      <c r="E22" s="112"/>
      <c r="F22" s="112"/>
      <c r="G22" s="112">
        <f t="shared" si="0"/>
        <v>-3408897.9799999991</v>
      </c>
      <c r="H22" s="112">
        <v>-438164.24134000001</v>
      </c>
      <c r="I22" s="112">
        <v>470537.69171500014</v>
      </c>
      <c r="J22" s="24">
        <f t="shared" si="1"/>
        <v>4917438.6303750016</v>
      </c>
      <c r="K22" s="112">
        <v>-923111</v>
      </c>
      <c r="L22" s="112">
        <v>-125500</v>
      </c>
      <c r="M22" s="115">
        <f t="shared" si="2"/>
        <v>7245352.1600000001</v>
      </c>
      <c r="N22" s="146"/>
      <c r="O22" s="147"/>
    </row>
    <row r="23" spans="1:15" x14ac:dyDescent="0.2">
      <c r="A23" s="15" t="s">
        <v>178</v>
      </c>
      <c r="B23" s="154">
        <v>12489346.000000006</v>
      </c>
      <c r="C23" s="154">
        <v>954237.09999999974</v>
      </c>
      <c r="D23" s="112">
        <v>34578.97</v>
      </c>
      <c r="E23" s="112"/>
      <c r="F23" s="112"/>
      <c r="G23" s="112">
        <f t="shared" si="0"/>
        <v>-954237.09999999974</v>
      </c>
      <c r="H23" s="112">
        <v>-1029506.2379699999</v>
      </c>
      <c r="I23" s="112">
        <v>1129233.2777600004</v>
      </c>
      <c r="J23" s="24">
        <f t="shared" si="1"/>
        <v>12623652.009790007</v>
      </c>
      <c r="K23" s="112">
        <v>-2496807</v>
      </c>
      <c r="L23" s="112">
        <v>-422189.83999999997</v>
      </c>
      <c r="M23" s="115">
        <f t="shared" si="2"/>
        <v>10559165.230000006</v>
      </c>
      <c r="N23" s="146"/>
      <c r="O23" s="147"/>
    </row>
    <row r="24" spans="1:15" x14ac:dyDescent="0.2">
      <c r="A24" s="15" t="s">
        <v>179</v>
      </c>
      <c r="B24" s="154">
        <v>11353613.710000006</v>
      </c>
      <c r="C24" s="154">
        <v>1062757.0499999998</v>
      </c>
      <c r="D24" s="112">
        <v>62719.270000000004</v>
      </c>
      <c r="E24" s="112"/>
      <c r="F24" s="112"/>
      <c r="G24" s="112">
        <f t="shared" si="0"/>
        <v>-1062757.0499999998</v>
      </c>
      <c r="H24" s="112">
        <v>-987863.74287999992</v>
      </c>
      <c r="I24" s="112">
        <v>1080493.4249340002</v>
      </c>
      <c r="J24" s="24">
        <f t="shared" si="1"/>
        <v>11508962.662054004</v>
      </c>
      <c r="K24" s="112">
        <v>-2457407</v>
      </c>
      <c r="L24" s="112">
        <v>-304712.67</v>
      </c>
      <c r="M24" s="115">
        <f t="shared" si="2"/>
        <v>9716970.360000005</v>
      </c>
      <c r="N24" s="146"/>
      <c r="O24" s="147"/>
    </row>
    <row r="25" spans="1:15" x14ac:dyDescent="0.2">
      <c r="A25" s="15" t="s">
        <v>180</v>
      </c>
      <c r="B25" s="154">
        <v>13012519.089999996</v>
      </c>
      <c r="C25" s="154">
        <v>985741.69000000018</v>
      </c>
      <c r="D25" s="112">
        <v>122653.93000000001</v>
      </c>
      <c r="E25" s="112"/>
      <c r="F25" s="112"/>
      <c r="G25" s="112">
        <f t="shared" si="0"/>
        <v>-985741.69000000018</v>
      </c>
      <c r="H25" s="112">
        <v>-1180639.2185699998</v>
      </c>
      <c r="I25" s="112">
        <v>1278676.8869140004</v>
      </c>
      <c r="J25" s="24">
        <f t="shared" si="1"/>
        <v>13233210.688343996</v>
      </c>
      <c r="K25" s="112">
        <v>-2664686</v>
      </c>
      <c r="L25" s="112">
        <v>-169479</v>
      </c>
      <c r="M25" s="115">
        <f t="shared" si="2"/>
        <v>11286749.709999995</v>
      </c>
      <c r="N25" s="146"/>
      <c r="O25" s="147"/>
    </row>
    <row r="26" spans="1:15" x14ac:dyDescent="0.2">
      <c r="A26" s="15" t="s">
        <v>181</v>
      </c>
      <c r="B26" s="154">
        <v>10666700.01</v>
      </c>
      <c r="C26" s="154">
        <v>818240.28000000026</v>
      </c>
      <c r="D26" s="112">
        <v>141488.24</v>
      </c>
      <c r="E26" s="112"/>
      <c r="F26" s="112"/>
      <c r="G26" s="112">
        <f t="shared" si="0"/>
        <v>-818240.28000000026</v>
      </c>
      <c r="H26" s="112">
        <v>-958201.93035000004</v>
      </c>
      <c r="I26" s="112">
        <v>1031097.425225</v>
      </c>
      <c r="J26" s="24">
        <f t="shared" si="1"/>
        <v>10881083.744875001</v>
      </c>
      <c r="K26" s="112">
        <v>-2184294</v>
      </c>
      <c r="L26" s="112">
        <v>-299000</v>
      </c>
      <c r="M26" s="115">
        <f t="shared" si="2"/>
        <v>9143134.5299999993</v>
      </c>
      <c r="N26" s="146"/>
      <c r="O26" s="147"/>
    </row>
    <row r="27" spans="1:15" x14ac:dyDescent="0.2">
      <c r="A27" s="15" t="s">
        <v>182</v>
      </c>
      <c r="B27" s="154">
        <v>8208351.5800000047</v>
      </c>
      <c r="C27" s="154">
        <v>825168.49</v>
      </c>
      <c r="D27" s="112">
        <v>37155.200000000004</v>
      </c>
      <c r="E27" s="112"/>
      <c r="F27" s="112"/>
      <c r="G27" s="112">
        <f t="shared" si="0"/>
        <v>-825168.49</v>
      </c>
      <c r="H27" s="112">
        <v>-696091.46739999996</v>
      </c>
      <c r="I27" s="112">
        <v>759875.61174700013</v>
      </c>
      <c r="J27" s="24">
        <f t="shared" si="1"/>
        <v>8309290.9243470039</v>
      </c>
      <c r="K27" s="112">
        <v>-1612381</v>
      </c>
      <c r="L27" s="112">
        <v>-275000</v>
      </c>
      <c r="M27" s="115">
        <f t="shared" si="2"/>
        <v>7183294.2700000033</v>
      </c>
      <c r="N27" s="146"/>
      <c r="O27" s="147"/>
    </row>
    <row r="28" spans="1:15" x14ac:dyDescent="0.2">
      <c r="A28" s="15" t="s">
        <v>183</v>
      </c>
      <c r="B28" s="154">
        <v>7242404.5599999996</v>
      </c>
      <c r="C28" s="154">
        <v>1206101.2999999998</v>
      </c>
      <c r="D28" s="112">
        <v>15759.829999999998</v>
      </c>
      <c r="E28" s="112"/>
      <c r="F28" s="112"/>
      <c r="G28" s="112">
        <f t="shared" si="0"/>
        <v>-1206101.2999999998</v>
      </c>
      <c r="H28" s="112">
        <v>-637387.16573000001</v>
      </c>
      <c r="I28" s="112">
        <v>700222.27990400023</v>
      </c>
      <c r="J28" s="24">
        <f t="shared" si="1"/>
        <v>7320999.5041739997</v>
      </c>
      <c r="K28" s="112">
        <v>-1317082</v>
      </c>
      <c r="L28" s="112">
        <v>-65576.22</v>
      </c>
      <c r="M28" s="115">
        <f t="shared" si="2"/>
        <v>7081607.4699999997</v>
      </c>
      <c r="N28" s="146"/>
      <c r="O28" s="147"/>
    </row>
    <row r="29" spans="1:15" x14ac:dyDescent="0.2">
      <c r="A29" s="15" t="s">
        <v>184</v>
      </c>
      <c r="B29" s="154">
        <v>8119701.1000000071</v>
      </c>
      <c r="C29" s="155">
        <v>1501427.8399999999</v>
      </c>
      <c r="D29" s="112">
        <v>80532.850000000006</v>
      </c>
      <c r="E29" s="112"/>
      <c r="F29" s="112"/>
      <c r="G29" s="112">
        <f t="shared" si="0"/>
        <v>-1501427.8399999999</v>
      </c>
      <c r="H29" s="112">
        <v>-709719.91370000003</v>
      </c>
      <c r="I29" s="112">
        <v>763933.78933200007</v>
      </c>
      <c r="J29" s="24">
        <f t="shared" si="1"/>
        <v>8254447.8256320059</v>
      </c>
      <c r="K29" s="112">
        <v>-1701900</v>
      </c>
      <c r="L29" s="112">
        <v>-139500</v>
      </c>
      <c r="M29" s="115">
        <f t="shared" si="2"/>
        <v>7860261.7900000066</v>
      </c>
      <c r="N29" s="146"/>
      <c r="O29" s="147"/>
    </row>
    <row r="30" spans="1:15" x14ac:dyDescent="0.2">
      <c r="A30" s="15" t="s">
        <v>185</v>
      </c>
      <c r="B30" s="154">
        <v>6232569.9599999981</v>
      </c>
      <c r="C30" s="154">
        <v>437705.52</v>
      </c>
      <c r="D30" s="112">
        <v>28224.620000000006</v>
      </c>
      <c r="E30" s="112"/>
      <c r="F30" s="112"/>
      <c r="G30" s="112">
        <f t="shared" si="0"/>
        <v>-437705.52</v>
      </c>
      <c r="H30" s="112">
        <v>-571990.79637</v>
      </c>
      <c r="I30" s="112">
        <v>626278.32469300018</v>
      </c>
      <c r="J30" s="24">
        <f>SUM(B30:I30)</f>
        <v>6315082.1083229985</v>
      </c>
      <c r="K30" s="112">
        <v>-846180</v>
      </c>
      <c r="L30" s="112">
        <v>-242486</v>
      </c>
      <c r="M30" s="115">
        <f>B30+C30+D30+K30+L30</f>
        <v>5609834.0999999987</v>
      </c>
      <c r="N30" s="146"/>
      <c r="O30" s="147"/>
    </row>
    <row r="31" spans="1:15" x14ac:dyDescent="0.2">
      <c r="A31" s="15" t="s">
        <v>186</v>
      </c>
      <c r="B31" s="154">
        <v>12455508.599999994</v>
      </c>
      <c r="C31" s="154">
        <v>1168404.81</v>
      </c>
      <c r="D31" s="112">
        <v>15696.97</v>
      </c>
      <c r="E31" s="112"/>
      <c r="F31" s="112"/>
      <c r="G31" s="112">
        <f t="shared" si="0"/>
        <v>-1168404.81</v>
      </c>
      <c r="H31" s="112">
        <v>-1085343.20664</v>
      </c>
      <c r="I31" s="112">
        <v>1177337.9336039999</v>
      </c>
      <c r="J31" s="24">
        <f t="shared" si="1"/>
        <v>12563200.296963995</v>
      </c>
      <c r="K31" s="112">
        <v>-2607196</v>
      </c>
      <c r="L31" s="112">
        <v>-114500</v>
      </c>
      <c r="M31" s="115">
        <f t="shared" si="2"/>
        <v>10917914.379999995</v>
      </c>
      <c r="N31" s="146"/>
      <c r="O31" s="147"/>
    </row>
    <row r="32" spans="1:15" x14ac:dyDescent="0.2">
      <c r="A32" s="15" t="s">
        <v>187</v>
      </c>
      <c r="B32" s="154">
        <v>12296938.470000001</v>
      </c>
      <c r="C32" s="154">
        <v>974188.07000000007</v>
      </c>
      <c r="D32" s="112">
        <v>62538.43</v>
      </c>
      <c r="E32" s="112"/>
      <c r="F32" s="112"/>
      <c r="G32" s="112">
        <f t="shared" si="0"/>
        <v>-974188.07000000007</v>
      </c>
      <c r="H32" s="112">
        <v>-1070081.06513</v>
      </c>
      <c r="I32" s="112">
        <v>1170508.807853</v>
      </c>
      <c r="J32" s="24">
        <f t="shared" si="1"/>
        <v>12459904.642723</v>
      </c>
      <c r="K32" s="112">
        <v>-2313710</v>
      </c>
      <c r="L32" s="112">
        <v>-372090.7</v>
      </c>
      <c r="M32" s="115">
        <f t="shared" si="2"/>
        <v>10647864.270000001</v>
      </c>
      <c r="N32" s="146"/>
      <c r="O32" s="147"/>
    </row>
    <row r="33" spans="1:15" x14ac:dyDescent="0.2">
      <c r="A33" s="15" t="s">
        <v>188</v>
      </c>
      <c r="B33" s="154">
        <v>11385521.419999996</v>
      </c>
      <c r="C33" s="154">
        <v>1880937.0600000005</v>
      </c>
      <c r="D33" s="112">
        <v>21706.52</v>
      </c>
      <c r="E33" s="112"/>
      <c r="F33" s="112"/>
      <c r="G33" s="112">
        <f t="shared" si="0"/>
        <v>-1880937.0600000005</v>
      </c>
      <c r="H33" s="112">
        <v>-994156.76864000002</v>
      </c>
      <c r="I33" s="112">
        <v>1084862.6995920003</v>
      </c>
      <c r="J33" s="24">
        <f t="shared" si="1"/>
        <v>11497933.870951995</v>
      </c>
      <c r="K33" s="112">
        <v>-2129129</v>
      </c>
      <c r="L33" s="112">
        <v>-184000</v>
      </c>
      <c r="M33" s="115">
        <f t="shared" si="2"/>
        <v>10975035.999999996</v>
      </c>
      <c r="N33" s="146"/>
      <c r="O33" s="147"/>
    </row>
    <row r="34" spans="1:15" x14ac:dyDescent="0.2">
      <c r="A34" s="15" t="s">
        <v>189</v>
      </c>
      <c r="B34" s="154">
        <v>3003379.5299999979</v>
      </c>
      <c r="C34" s="154">
        <v>375502.72000000009</v>
      </c>
      <c r="D34" s="112">
        <v>15921.100000000002</v>
      </c>
      <c r="E34" s="112"/>
      <c r="F34" s="112"/>
      <c r="G34" s="112">
        <f t="shared" si="0"/>
        <v>-375502.72000000009</v>
      </c>
      <c r="H34" s="112">
        <v>-277400.1824300001</v>
      </c>
      <c r="I34" s="112">
        <v>280895.61995600001</v>
      </c>
      <c r="J34" s="24">
        <f t="shared" si="1"/>
        <v>3022796.0675259978</v>
      </c>
      <c r="K34" s="112">
        <v>-689520</v>
      </c>
      <c r="L34" s="112">
        <v>-82500</v>
      </c>
      <c r="M34" s="115">
        <f t="shared" si="2"/>
        <v>2622783.3499999982</v>
      </c>
      <c r="N34" s="146"/>
      <c r="O34" s="147"/>
    </row>
    <row r="35" spans="1:15" x14ac:dyDescent="0.2">
      <c r="A35" s="15" t="s">
        <v>190</v>
      </c>
      <c r="B35" s="154">
        <v>6755757.570000004</v>
      </c>
      <c r="C35" s="154">
        <v>523236.1100000001</v>
      </c>
      <c r="D35" s="112">
        <v>21443.43</v>
      </c>
      <c r="E35" s="112"/>
      <c r="F35" s="112"/>
      <c r="G35" s="112">
        <f t="shared" si="0"/>
        <v>-523236.1100000001</v>
      </c>
      <c r="H35" s="112">
        <v>-568558.66836999997</v>
      </c>
      <c r="I35" s="112">
        <v>625765.53875499987</v>
      </c>
      <c r="J35" s="24">
        <f t="shared" si="1"/>
        <v>6834407.8703850033</v>
      </c>
      <c r="K35" s="112">
        <v>-1318314</v>
      </c>
      <c r="L35" s="112">
        <v>-149000</v>
      </c>
      <c r="M35" s="115">
        <f t="shared" si="2"/>
        <v>5833123.1100000041</v>
      </c>
      <c r="N35" s="146"/>
      <c r="O35" s="147"/>
    </row>
    <row r="36" spans="1:15" x14ac:dyDescent="0.2">
      <c r="A36" s="15" t="s">
        <v>232</v>
      </c>
      <c r="B36" s="154">
        <v>1994328.2700000007</v>
      </c>
      <c r="C36" s="154">
        <v>98591.720000000088</v>
      </c>
      <c r="D36" s="112">
        <v>6000</v>
      </c>
      <c r="E36" s="112">
        <f>(B36+D36)*-1</f>
        <v>-2000328.2700000007</v>
      </c>
      <c r="F36" s="112"/>
      <c r="G36" s="112">
        <f t="shared" si="0"/>
        <v>-98591.720000000088</v>
      </c>
      <c r="H36" s="112"/>
      <c r="I36" s="112"/>
      <c r="J36" s="24">
        <f>SUM(B36:I36)</f>
        <v>-1.1641532182693481E-10</v>
      </c>
      <c r="K36" s="112"/>
      <c r="L36" s="112"/>
      <c r="M36" s="115">
        <f>B36+C36+D36+K36+L36</f>
        <v>2098919.9900000007</v>
      </c>
      <c r="N36" s="146"/>
      <c r="O36" s="147"/>
    </row>
    <row r="37" spans="1:15" x14ac:dyDescent="0.2">
      <c r="A37" s="15" t="s">
        <v>349</v>
      </c>
      <c r="B37" s="154">
        <v>1769180.1300000006</v>
      </c>
      <c r="C37" s="154">
        <v>655454.12</v>
      </c>
      <c r="D37" s="112">
        <v>3368.92</v>
      </c>
      <c r="E37" s="112"/>
      <c r="F37" s="112"/>
      <c r="G37" s="112">
        <f t="shared" si="0"/>
        <v>-655454.12</v>
      </c>
      <c r="H37" s="112">
        <v>-131145.25067000001</v>
      </c>
      <c r="I37" s="112">
        <v>162507.01742100003</v>
      </c>
      <c r="J37" s="24">
        <f>SUM(B37:I37)</f>
        <v>1803910.8167510002</v>
      </c>
      <c r="K37" s="112">
        <v>-560595</v>
      </c>
      <c r="L37" s="112"/>
      <c r="N37" s="146"/>
      <c r="O37" s="147"/>
    </row>
    <row r="38" spans="1:15" x14ac:dyDescent="0.2">
      <c r="A38" s="15" t="s">
        <v>191</v>
      </c>
      <c r="B38" s="154">
        <v>456149.2</v>
      </c>
      <c r="C38" s="154"/>
      <c r="D38" s="112"/>
      <c r="E38" s="112">
        <f>B38*-1</f>
        <v>-456149.2</v>
      </c>
      <c r="F38" s="112"/>
      <c r="G38" s="112">
        <f t="shared" si="0"/>
        <v>0</v>
      </c>
      <c r="H38" s="112"/>
      <c r="I38" s="112"/>
      <c r="J38" s="24">
        <f t="shared" si="1"/>
        <v>0</v>
      </c>
      <c r="K38" s="112"/>
      <c r="L38" s="112"/>
      <c r="M38" s="115">
        <f t="shared" si="2"/>
        <v>456149.2</v>
      </c>
      <c r="N38" s="146"/>
      <c r="O38" s="147"/>
    </row>
    <row r="39" spans="1:15" x14ac:dyDescent="0.2">
      <c r="A39" s="15" t="s">
        <v>192</v>
      </c>
      <c r="B39" s="154"/>
      <c r="C39" s="154">
        <v>22518880.48</v>
      </c>
      <c r="D39" s="112"/>
      <c r="E39" s="112"/>
      <c r="F39" s="112"/>
      <c r="G39" s="112">
        <f t="shared" si="0"/>
        <v>-22518880.48</v>
      </c>
      <c r="H39" s="112"/>
      <c r="I39" s="112"/>
      <c r="J39" s="24">
        <f t="shared" si="1"/>
        <v>0</v>
      </c>
      <c r="K39" s="112"/>
      <c r="L39" s="112"/>
      <c r="M39" s="115">
        <f t="shared" si="2"/>
        <v>22518880.48</v>
      </c>
      <c r="N39" s="146"/>
      <c r="O39" s="147"/>
    </row>
    <row r="40" spans="1:15" x14ac:dyDescent="0.2">
      <c r="A40" s="15" t="s">
        <v>193</v>
      </c>
      <c r="B40" s="154"/>
      <c r="C40" s="154">
        <v>716538</v>
      </c>
      <c r="D40" s="112"/>
      <c r="E40" s="112"/>
      <c r="F40" s="112"/>
      <c r="G40" s="112">
        <f t="shared" si="0"/>
        <v>-716538</v>
      </c>
      <c r="H40" s="112"/>
      <c r="I40" s="112"/>
      <c r="J40" s="24">
        <f t="shared" si="1"/>
        <v>0</v>
      </c>
      <c r="K40" s="112"/>
      <c r="L40" s="112"/>
      <c r="M40" s="115">
        <f t="shared" si="2"/>
        <v>716538</v>
      </c>
      <c r="N40" s="146"/>
      <c r="O40" s="147"/>
    </row>
    <row r="41" spans="1:15" x14ac:dyDescent="0.2">
      <c r="A41" s="15" t="s">
        <v>194</v>
      </c>
      <c r="B41" s="154">
        <v>6017533.75</v>
      </c>
      <c r="C41" s="154">
        <v>30500</v>
      </c>
      <c r="D41" s="112"/>
      <c r="E41" s="112">
        <f>B41*-1</f>
        <v>-6017533.75</v>
      </c>
      <c r="F41" s="112"/>
      <c r="G41" s="112">
        <f t="shared" si="0"/>
        <v>-30500</v>
      </c>
      <c r="H41" s="112"/>
      <c r="I41" s="112"/>
      <c r="J41" s="24">
        <f>SUM(B41:I41)</f>
        <v>0</v>
      </c>
      <c r="K41" s="112"/>
      <c r="L41" s="112"/>
      <c r="M41" s="115">
        <f t="shared" si="2"/>
        <v>6048033.75</v>
      </c>
      <c r="N41" s="146"/>
      <c r="O41" s="147"/>
    </row>
    <row r="42" spans="1:15" x14ac:dyDescent="0.2">
      <c r="A42" s="15" t="s">
        <v>195</v>
      </c>
      <c r="B42" s="154">
        <v>383715743</v>
      </c>
      <c r="C42" s="154">
        <v>-313000</v>
      </c>
      <c r="D42" s="112"/>
      <c r="E42" s="112">
        <f>B42*-1</f>
        <v>-383715743</v>
      </c>
      <c r="F42" s="112"/>
      <c r="G42" s="112">
        <f t="shared" si="0"/>
        <v>313000</v>
      </c>
      <c r="H42" s="112"/>
      <c r="I42" s="112"/>
      <c r="J42" s="24">
        <f>SUM(B42:I42)</f>
        <v>0</v>
      </c>
      <c r="K42" s="112"/>
      <c r="L42" s="112"/>
      <c r="M42" s="115">
        <f>B42+C42+D42+K42+L42</f>
        <v>383402743</v>
      </c>
      <c r="N42" s="146"/>
      <c r="O42" s="147"/>
    </row>
    <row r="43" spans="1:15" x14ac:dyDescent="0.2">
      <c r="A43" s="15"/>
      <c r="B43" s="154"/>
      <c r="C43" s="154"/>
      <c r="D43" s="112"/>
      <c r="E43" s="112"/>
      <c r="F43" s="112"/>
      <c r="G43" s="112">
        <f t="shared" si="0"/>
        <v>0</v>
      </c>
      <c r="H43" s="156"/>
      <c r="I43" s="156"/>
      <c r="J43" s="24">
        <f t="shared" si="1"/>
        <v>0</v>
      </c>
      <c r="K43" s="112"/>
      <c r="L43" s="112"/>
      <c r="M43" s="115">
        <f t="shared" ref="M43:M49" si="3">B43+C43+D43+K43+L43</f>
        <v>0</v>
      </c>
      <c r="N43" s="146"/>
      <c r="O43" s="147"/>
    </row>
    <row r="44" spans="1:15" x14ac:dyDescent="0.2">
      <c r="A44" s="15" t="s">
        <v>197</v>
      </c>
      <c r="B44" s="154">
        <v>38344787.400000006</v>
      </c>
      <c r="C44" s="154">
        <v>6107126.0800000001</v>
      </c>
      <c r="D44" s="112">
        <v>1250132.27</v>
      </c>
      <c r="E44" s="112">
        <v>-4078564.08</v>
      </c>
      <c r="F44" s="112"/>
      <c r="G44" s="112">
        <f t="shared" si="0"/>
        <v>-6107126.0800000001</v>
      </c>
      <c r="H44" s="112">
        <v>-33541828.932429999</v>
      </c>
      <c r="I44" s="112">
        <v>3893.0920000000001</v>
      </c>
      <c r="J44" s="24">
        <f>SUM(B44:I44)</f>
        <v>1978419.7495700119</v>
      </c>
      <c r="K44" s="112"/>
      <c r="L44" s="112"/>
      <c r="M44" s="115">
        <f t="shared" si="3"/>
        <v>45702045.750000007</v>
      </c>
      <c r="N44" s="146"/>
      <c r="O44" s="147"/>
    </row>
    <row r="45" spans="1:15" x14ac:dyDescent="0.2">
      <c r="A45" s="15" t="s">
        <v>199</v>
      </c>
      <c r="B45" s="154">
        <v>1695.4599999999998</v>
      </c>
      <c r="C45" s="154">
        <v>8334.24</v>
      </c>
      <c r="D45" s="112"/>
      <c r="E45" s="112">
        <v>-1695.46</v>
      </c>
      <c r="F45" s="168"/>
      <c r="G45" s="112">
        <f t="shared" si="0"/>
        <v>-8334.24</v>
      </c>
      <c r="H45" s="112"/>
      <c r="I45" s="112"/>
      <c r="J45" s="24">
        <f>SUM(B45:I45)</f>
        <v>0</v>
      </c>
      <c r="K45" s="112"/>
      <c r="L45" s="112"/>
      <c r="M45" s="115">
        <f t="shared" si="3"/>
        <v>10029.699999999999</v>
      </c>
      <c r="N45" s="146"/>
      <c r="O45" s="147"/>
    </row>
    <row r="46" spans="1:15" x14ac:dyDescent="0.2">
      <c r="A46" s="15" t="s">
        <v>198</v>
      </c>
      <c r="B46" s="154"/>
      <c r="C46" s="154"/>
      <c r="D46" s="112"/>
      <c r="E46" s="112"/>
      <c r="F46" s="168"/>
      <c r="G46" s="112">
        <f t="shared" si="0"/>
        <v>0</v>
      </c>
      <c r="H46" s="112"/>
      <c r="I46" s="112"/>
      <c r="J46" s="24">
        <f t="shared" si="1"/>
        <v>0</v>
      </c>
      <c r="K46" s="112"/>
      <c r="L46" s="112"/>
      <c r="M46" s="115">
        <f t="shared" si="3"/>
        <v>0</v>
      </c>
      <c r="N46" s="146"/>
      <c r="O46" s="147"/>
    </row>
    <row r="47" spans="1:15" x14ac:dyDescent="0.2">
      <c r="A47" s="15" t="s">
        <v>201</v>
      </c>
      <c r="B47" s="154"/>
      <c r="C47" s="154"/>
      <c r="D47" s="112">
        <v>11905047.339999964</v>
      </c>
      <c r="E47" s="112">
        <v>-361675.92</v>
      </c>
      <c r="F47" s="168">
        <f>288480.03+251577.49-38019.92</f>
        <v>502037.60000000003</v>
      </c>
      <c r="G47" s="112">
        <f t="shared" si="0"/>
        <v>0</v>
      </c>
      <c r="H47" s="112">
        <v>-72512.706489999997</v>
      </c>
      <c r="I47" s="112">
        <v>80355.919952000011</v>
      </c>
      <c r="J47" s="24">
        <f>SUM(B47:I47)</f>
        <v>12053252.233461963</v>
      </c>
      <c r="K47" s="112"/>
      <c r="L47" s="112">
        <v>-149000</v>
      </c>
      <c r="M47" s="115">
        <f t="shared" si="3"/>
        <v>11756047.339999964</v>
      </c>
      <c r="N47" s="146"/>
      <c r="O47" s="147"/>
    </row>
    <row r="48" spans="1:15" x14ac:dyDescent="0.2">
      <c r="A48" s="15" t="s">
        <v>200</v>
      </c>
      <c r="B48" s="154"/>
      <c r="C48" s="154"/>
      <c r="D48" s="112"/>
      <c r="E48" s="112"/>
      <c r="F48" s="112"/>
      <c r="G48" s="112">
        <f t="shared" si="0"/>
        <v>0</v>
      </c>
      <c r="H48" s="112"/>
      <c r="I48" s="112"/>
      <c r="J48" s="24">
        <f>SUM(B48:I48)</f>
        <v>0</v>
      </c>
      <c r="K48" s="112"/>
      <c r="L48" s="112"/>
      <c r="M48" s="115">
        <f t="shared" si="3"/>
        <v>0</v>
      </c>
      <c r="N48" s="146"/>
      <c r="O48" s="147"/>
    </row>
    <row r="49" spans="1:37" x14ac:dyDescent="0.2">
      <c r="A49" s="15" t="s">
        <v>202</v>
      </c>
      <c r="B49" s="154"/>
      <c r="C49" s="154"/>
      <c r="D49" s="148">
        <v>7808606.2800000012</v>
      </c>
      <c r="E49" s="112">
        <v>-1385488.71</v>
      </c>
      <c r="F49" s="112"/>
      <c r="G49" s="112">
        <f t="shared" si="0"/>
        <v>0</v>
      </c>
      <c r="H49" s="112">
        <v>-584305.60936999996</v>
      </c>
      <c r="I49" s="112">
        <v>643062.86142700003</v>
      </c>
      <c r="J49" s="24">
        <f>SUM(B49:I49)</f>
        <v>6481874.8220570013</v>
      </c>
      <c r="K49" s="112"/>
      <c r="L49" s="112">
        <v>-1252.3399999999999</v>
      </c>
      <c r="M49" s="115">
        <f t="shared" si="3"/>
        <v>7807353.9400000013</v>
      </c>
      <c r="N49" s="146"/>
      <c r="O49" s="147"/>
    </row>
    <row r="50" spans="1:37" ht="13.5" thickBot="1" x14ac:dyDescent="0.25">
      <c r="A50" s="25" t="s">
        <v>2</v>
      </c>
      <c r="B50" s="26">
        <f t="shared" ref="B50:L50" si="4">SUM(B7:B49)</f>
        <v>632941209.66999996</v>
      </c>
      <c r="C50" s="26">
        <f t="shared" si="4"/>
        <v>63338437.229999997</v>
      </c>
      <c r="D50" s="26">
        <f>SUM(D7:D49)</f>
        <v>22503294.379999965</v>
      </c>
      <c r="E50" s="26">
        <f t="shared" si="4"/>
        <v>-398024210.53999996</v>
      </c>
      <c r="F50" s="26">
        <f t="shared" si="4"/>
        <v>439337.18382666825</v>
      </c>
      <c r="G50" s="26">
        <f t="shared" si="4"/>
        <v>-63338437.229999997</v>
      </c>
      <c r="H50" s="26">
        <f t="shared" si="4"/>
        <v>-51590403.507370003</v>
      </c>
      <c r="I50" s="26">
        <f t="shared" si="4"/>
        <v>19626338.41905801</v>
      </c>
      <c r="J50" s="26">
        <f t="shared" si="4"/>
        <v>225895565.60551465</v>
      </c>
      <c r="K50" s="26">
        <f t="shared" si="4"/>
        <v>-33533945</v>
      </c>
      <c r="L50" s="26">
        <f t="shared" si="4"/>
        <v>-7072480.3700000001</v>
      </c>
      <c r="N50" s="146"/>
      <c r="O50" s="147"/>
    </row>
    <row r="51" spans="1:37" s="67" customFormat="1" x14ac:dyDescent="0.2">
      <c r="A51" s="7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18"/>
      <c r="N51" s="134"/>
      <c r="O51" s="138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 spans="1:37" x14ac:dyDescent="0.2">
      <c r="A52" s="149" t="s">
        <v>119</v>
      </c>
      <c r="B52" s="150">
        <v>632941209.67000008</v>
      </c>
      <c r="C52" s="150">
        <v>63338437.230000027</v>
      </c>
      <c r="D52" s="151">
        <v>22503294.379999992</v>
      </c>
      <c r="E52" s="151"/>
      <c r="F52" s="151"/>
      <c r="G52" s="151"/>
      <c r="H52" s="151">
        <v>-51590403.507369958</v>
      </c>
      <c r="I52" s="151">
        <v>19626338.419058003</v>
      </c>
      <c r="J52" s="19">
        <f>J50+L50</f>
        <v>218823085.23551464</v>
      </c>
      <c r="K52" s="19"/>
      <c r="L52" s="19"/>
    </row>
    <row r="53" spans="1:37" x14ac:dyDescent="0.2"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</row>
    <row r="54" spans="1:37" x14ac:dyDescent="0.2"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</row>
    <row r="55" spans="1:37" x14ac:dyDescent="0.2"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</row>
    <row r="56" spans="1:37" x14ac:dyDescent="0.2"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</row>
    <row r="57" spans="1:37" x14ac:dyDescent="0.2"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</row>
    <row r="58" spans="1:37" x14ac:dyDescent="0.2"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</row>
    <row r="59" spans="1:37" x14ac:dyDescent="0.2"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</row>
    <row r="60" spans="1:37" x14ac:dyDescent="0.2"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</row>
    <row r="61" spans="1:37" x14ac:dyDescent="0.2"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</row>
    <row r="62" spans="1:37" x14ac:dyDescent="0.2"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</row>
    <row r="63" spans="1:37" x14ac:dyDescent="0.2"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</row>
    <row r="64" spans="1:37" x14ac:dyDescent="0.2"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</row>
    <row r="68" spans="2:12" x14ac:dyDescent="0.2"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</row>
    <row r="69" spans="2:12" x14ac:dyDescent="0.2"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</row>
    <row r="70" spans="2:12" x14ac:dyDescent="0.2"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</row>
    <row r="71" spans="2:12" x14ac:dyDescent="0.2"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</row>
    <row r="72" spans="2:12" x14ac:dyDescent="0.2"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</row>
    <row r="73" spans="2:12" x14ac:dyDescent="0.2"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</row>
    <row r="74" spans="2:12" x14ac:dyDescent="0.2"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</row>
    <row r="75" spans="2:12" x14ac:dyDescent="0.2">
      <c r="B75" s="18"/>
      <c r="C75" s="18"/>
      <c r="D75" s="19"/>
      <c r="E75" s="19"/>
      <c r="F75" s="19"/>
      <c r="G75" s="19"/>
      <c r="H75" s="19"/>
      <c r="I75" s="19"/>
      <c r="J75" s="19"/>
      <c r="K75" s="19"/>
      <c r="L75" s="19"/>
    </row>
    <row r="76" spans="2:12" x14ac:dyDescent="0.2"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</row>
    <row r="77" spans="2:12" x14ac:dyDescent="0.2">
      <c r="B77" s="18"/>
      <c r="C77" s="18"/>
      <c r="D77" s="19"/>
      <c r="E77" s="19"/>
      <c r="F77" s="19"/>
      <c r="G77" s="19"/>
      <c r="H77" s="19"/>
      <c r="I77" s="19"/>
      <c r="J77" s="19"/>
      <c r="K77" s="19"/>
      <c r="L77" s="19"/>
    </row>
    <row r="78" spans="2:12" x14ac:dyDescent="0.2"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</row>
    <row r="79" spans="2:12" x14ac:dyDescent="0.2">
      <c r="B79" s="18"/>
      <c r="C79" s="18"/>
      <c r="D79" s="19"/>
      <c r="E79" s="19"/>
      <c r="F79" s="19"/>
      <c r="G79" s="19"/>
      <c r="H79" s="19"/>
      <c r="I79" s="19"/>
      <c r="J79" s="19"/>
      <c r="K79" s="19"/>
      <c r="L79" s="19"/>
    </row>
    <row r="80" spans="2:12" x14ac:dyDescent="0.2">
      <c r="B80" s="18"/>
      <c r="C80" s="18"/>
      <c r="D80" s="19"/>
      <c r="E80" s="19"/>
      <c r="F80" s="19"/>
      <c r="G80" s="19"/>
      <c r="H80" s="19"/>
      <c r="I80" s="19"/>
      <c r="J80" s="19"/>
      <c r="K80" s="19"/>
      <c r="L80" s="19"/>
    </row>
    <row r="81" spans="2:12" x14ac:dyDescent="0.2">
      <c r="B81" s="18"/>
      <c r="C81" s="18"/>
      <c r="D81" s="19"/>
      <c r="E81" s="19"/>
      <c r="F81" s="19"/>
      <c r="G81" s="19"/>
      <c r="H81" s="19"/>
      <c r="I81" s="19"/>
      <c r="J81" s="19"/>
      <c r="K81" s="19"/>
      <c r="L81" s="19"/>
    </row>
    <row r="82" spans="2:12" x14ac:dyDescent="0.2">
      <c r="B82" s="18"/>
      <c r="C82" s="18"/>
      <c r="D82" s="19"/>
      <c r="E82" s="19"/>
      <c r="F82" s="19"/>
      <c r="G82" s="19"/>
      <c r="H82" s="19"/>
      <c r="I82" s="19"/>
      <c r="J82" s="19"/>
      <c r="K82" s="19"/>
      <c r="L82" s="19"/>
    </row>
    <row r="83" spans="2:12" x14ac:dyDescent="0.2">
      <c r="B83" s="18"/>
      <c r="C83" s="18"/>
      <c r="D83" s="19"/>
      <c r="E83" s="19"/>
      <c r="F83" s="19"/>
      <c r="G83" s="19"/>
      <c r="H83" s="19"/>
      <c r="I83" s="19"/>
      <c r="J83" s="19"/>
      <c r="K83" s="19"/>
      <c r="L83" s="19"/>
    </row>
    <row r="84" spans="2:12" x14ac:dyDescent="0.2">
      <c r="B84" s="18"/>
      <c r="C84" s="18"/>
      <c r="D84" s="19"/>
      <c r="E84" s="19"/>
      <c r="F84" s="19"/>
      <c r="G84" s="19"/>
      <c r="H84" s="19"/>
      <c r="I84" s="19"/>
      <c r="J84" s="19"/>
      <c r="K84" s="19"/>
      <c r="L84" s="19"/>
    </row>
    <row r="85" spans="2:12" x14ac:dyDescent="0.2">
      <c r="B85" s="18"/>
      <c r="C85" s="18"/>
      <c r="D85" s="19"/>
      <c r="E85" s="19"/>
      <c r="F85" s="19"/>
      <c r="G85" s="19"/>
      <c r="H85" s="19"/>
      <c r="I85" s="19"/>
      <c r="J85" s="19"/>
      <c r="K85" s="19"/>
      <c r="L85" s="19"/>
    </row>
    <row r="86" spans="2:12" x14ac:dyDescent="0.2">
      <c r="B86" s="18"/>
      <c r="C86" s="18"/>
      <c r="D86" s="19"/>
      <c r="E86" s="19"/>
      <c r="F86" s="19"/>
      <c r="G86" s="19"/>
      <c r="H86" s="19"/>
      <c r="I86" s="19"/>
      <c r="J86" s="19"/>
      <c r="K86" s="19"/>
      <c r="L86" s="19"/>
    </row>
    <row r="87" spans="2:12" x14ac:dyDescent="0.2">
      <c r="B87" s="18"/>
      <c r="C87" s="18"/>
      <c r="D87" s="19"/>
      <c r="E87" s="19"/>
      <c r="F87" s="19"/>
      <c r="G87" s="19"/>
      <c r="H87" s="19"/>
      <c r="I87" s="19"/>
      <c r="J87" s="19"/>
      <c r="K87" s="19"/>
      <c r="L87" s="19"/>
    </row>
    <row r="88" spans="2:12" x14ac:dyDescent="0.2">
      <c r="B88" s="18"/>
      <c r="C88" s="18"/>
      <c r="D88" s="19"/>
      <c r="E88" s="19"/>
      <c r="F88" s="19"/>
      <c r="G88" s="19"/>
      <c r="H88" s="19"/>
      <c r="I88" s="19"/>
      <c r="J88" s="19"/>
      <c r="K88" s="19"/>
      <c r="L88" s="19"/>
    </row>
    <row r="89" spans="2:12" x14ac:dyDescent="0.2">
      <c r="B89" s="18"/>
      <c r="C89" s="18"/>
      <c r="D89" s="19"/>
      <c r="E89" s="19"/>
      <c r="F89" s="19"/>
      <c r="G89" s="19"/>
      <c r="H89" s="19"/>
      <c r="I89" s="19"/>
      <c r="J89" s="19"/>
      <c r="K89" s="19"/>
      <c r="L89" s="19"/>
    </row>
    <row r="90" spans="2:12" x14ac:dyDescent="0.2">
      <c r="B90" s="18"/>
      <c r="C90" s="18"/>
      <c r="D90" s="19"/>
      <c r="E90" s="19"/>
      <c r="F90" s="19"/>
      <c r="G90" s="19"/>
      <c r="H90" s="19"/>
      <c r="I90" s="19"/>
      <c r="J90" s="19"/>
      <c r="K90" s="19"/>
      <c r="L90" s="19"/>
    </row>
    <row r="91" spans="2:12" x14ac:dyDescent="0.2">
      <c r="B91" s="18"/>
      <c r="C91" s="18"/>
      <c r="D91" s="19"/>
      <c r="E91" s="19"/>
      <c r="F91" s="19"/>
      <c r="G91" s="19"/>
      <c r="H91" s="19"/>
      <c r="I91" s="19"/>
      <c r="J91" s="19"/>
      <c r="K91" s="19"/>
      <c r="L91" s="19"/>
    </row>
    <row r="92" spans="2:12" x14ac:dyDescent="0.2">
      <c r="B92" s="18"/>
      <c r="C92" s="18"/>
      <c r="D92" s="19"/>
      <c r="E92" s="19"/>
      <c r="F92" s="19"/>
      <c r="G92" s="19"/>
      <c r="H92" s="19"/>
      <c r="I92" s="19"/>
      <c r="J92" s="19"/>
      <c r="K92" s="19"/>
      <c r="L92" s="19"/>
    </row>
    <row r="93" spans="2:12" x14ac:dyDescent="0.2">
      <c r="B93" s="18"/>
      <c r="C93" s="18"/>
      <c r="D93" s="19"/>
      <c r="E93" s="19"/>
      <c r="F93" s="19"/>
      <c r="G93" s="19"/>
      <c r="H93" s="19"/>
      <c r="I93" s="19"/>
      <c r="J93" s="19"/>
      <c r="K93" s="19"/>
      <c r="L93" s="19"/>
    </row>
    <row r="94" spans="2:12" x14ac:dyDescent="0.2">
      <c r="B94" s="18"/>
      <c r="C94" s="18"/>
      <c r="D94" s="19"/>
      <c r="E94" s="19"/>
      <c r="F94" s="19"/>
      <c r="G94" s="19"/>
      <c r="H94" s="19"/>
      <c r="I94" s="19"/>
      <c r="J94" s="19"/>
      <c r="K94" s="19"/>
      <c r="L94" s="19"/>
    </row>
    <row r="95" spans="2:12" x14ac:dyDescent="0.2">
      <c r="B95" s="18"/>
      <c r="C95" s="18"/>
      <c r="D95" s="19"/>
      <c r="E95" s="19"/>
      <c r="F95" s="19"/>
      <c r="G95" s="19"/>
      <c r="H95" s="19"/>
      <c r="I95" s="19"/>
      <c r="J95" s="19"/>
      <c r="K95" s="19"/>
      <c r="L95" s="19"/>
    </row>
    <row r="96" spans="2:12" x14ac:dyDescent="0.2">
      <c r="B96" s="18"/>
      <c r="C96" s="18"/>
      <c r="D96" s="19"/>
      <c r="E96" s="19"/>
      <c r="F96" s="19"/>
      <c r="G96" s="19"/>
      <c r="H96" s="19"/>
      <c r="I96" s="19"/>
      <c r="J96" s="19"/>
      <c r="K96" s="19"/>
      <c r="L96" s="19"/>
    </row>
    <row r="97" spans="2:12" x14ac:dyDescent="0.2">
      <c r="B97" s="18"/>
      <c r="C97" s="18"/>
      <c r="D97" s="19"/>
      <c r="E97" s="19"/>
      <c r="F97" s="19"/>
      <c r="G97" s="19"/>
      <c r="H97" s="19"/>
      <c r="I97" s="19"/>
      <c r="J97" s="19"/>
      <c r="K97" s="19"/>
      <c r="L97" s="19"/>
    </row>
    <row r="98" spans="2:12" x14ac:dyDescent="0.2">
      <c r="B98" s="18"/>
      <c r="C98" s="18"/>
      <c r="D98" s="19"/>
      <c r="E98" s="19"/>
      <c r="F98" s="19"/>
      <c r="G98" s="19"/>
      <c r="H98" s="19"/>
      <c r="I98" s="19"/>
      <c r="J98" s="19"/>
      <c r="K98" s="19"/>
      <c r="L98" s="19"/>
    </row>
    <row r="99" spans="2:12" x14ac:dyDescent="0.2">
      <c r="B99" s="18"/>
      <c r="C99" s="18"/>
      <c r="D99" s="19"/>
      <c r="E99" s="19"/>
      <c r="F99" s="19"/>
      <c r="G99" s="19"/>
      <c r="H99" s="19"/>
      <c r="I99" s="19"/>
      <c r="J99" s="19"/>
      <c r="K99" s="19"/>
      <c r="L99" s="19"/>
    </row>
    <row r="100" spans="2:12" x14ac:dyDescent="0.2">
      <c r="B100" s="18"/>
      <c r="C100" s="18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 x14ac:dyDescent="0.2">
      <c r="B101" s="18"/>
      <c r="C101" s="18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2:12" x14ac:dyDescent="0.2">
      <c r="B102" s="18"/>
      <c r="C102" s="18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2" x14ac:dyDescent="0.2">
      <c r="B103" s="18"/>
      <c r="C103" s="18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2:12" x14ac:dyDescent="0.2">
      <c r="B104" s="18"/>
      <c r="C104" s="18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2:12" x14ac:dyDescent="0.2">
      <c r="B105" s="18"/>
      <c r="C105" s="18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2:12" x14ac:dyDescent="0.2">
      <c r="B106" s="18"/>
      <c r="C106" s="18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2:12" x14ac:dyDescent="0.2">
      <c r="B107" s="18"/>
      <c r="C107" s="18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2:12" x14ac:dyDescent="0.2">
      <c r="B108" s="18"/>
      <c r="C108" s="18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2:12" x14ac:dyDescent="0.2">
      <c r="B109" s="18"/>
      <c r="C109" s="18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2:12" x14ac:dyDescent="0.2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2:12" x14ac:dyDescent="0.2">
      <c r="B111" s="18"/>
      <c r="C111" s="18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2:12" x14ac:dyDescent="0.2">
      <c r="B112" s="18"/>
      <c r="C112" s="18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x14ac:dyDescent="0.2">
      <c r="B113" s="18"/>
      <c r="C113" s="18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2:12" x14ac:dyDescent="0.2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2" x14ac:dyDescent="0.2">
      <c r="B115" s="18"/>
      <c r="C115" s="18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x14ac:dyDescent="0.2">
      <c r="B116" s="18"/>
      <c r="C116" s="18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2:12" x14ac:dyDescent="0.2">
      <c r="B117" s="18"/>
      <c r="C117" s="18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2:12" x14ac:dyDescent="0.2">
      <c r="B118" s="18"/>
      <c r="C118" s="18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2:12" x14ac:dyDescent="0.2">
      <c r="B119" s="18"/>
      <c r="C119" s="18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2:12" x14ac:dyDescent="0.2">
      <c r="B120" s="18"/>
      <c r="C120" s="18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2:12" x14ac:dyDescent="0.2">
      <c r="B121" s="18"/>
      <c r="C121" s="18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2:12" x14ac:dyDescent="0.2">
      <c r="B122" s="18"/>
      <c r="C122" s="18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2:12" x14ac:dyDescent="0.2">
      <c r="B123" s="18"/>
      <c r="C123" s="18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2:12" x14ac:dyDescent="0.2">
      <c r="B124" s="18"/>
      <c r="C124" s="18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2:12" x14ac:dyDescent="0.2">
      <c r="B125" s="18"/>
      <c r="C125" s="18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2:12" x14ac:dyDescent="0.2">
      <c r="B126" s="18"/>
      <c r="C126" s="18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2:12" x14ac:dyDescent="0.2">
      <c r="B127" s="18"/>
      <c r="C127" s="18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2:12" x14ac:dyDescent="0.2">
      <c r="B128" s="18"/>
      <c r="C128" s="18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2:12" x14ac:dyDescent="0.2">
      <c r="B129" s="18"/>
      <c r="C129" s="18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2:12" x14ac:dyDescent="0.2">
      <c r="B130" s="18"/>
      <c r="C130" s="18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2:12" x14ac:dyDescent="0.2">
      <c r="B131" s="18"/>
      <c r="C131" s="18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2:12" x14ac:dyDescent="0.2">
      <c r="B132" s="18"/>
      <c r="C132" s="18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2:12" x14ac:dyDescent="0.2">
      <c r="B133" s="18"/>
      <c r="C133" s="18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2:12" x14ac:dyDescent="0.2">
      <c r="B134" s="18"/>
      <c r="C134" s="18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2:12" x14ac:dyDescent="0.2">
      <c r="B135" s="18"/>
      <c r="C135" s="18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2:12" x14ac:dyDescent="0.2">
      <c r="B136" s="18"/>
      <c r="C136" s="18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x14ac:dyDescent="0.2">
      <c r="B137" s="18"/>
      <c r="C137" s="18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2:12" x14ac:dyDescent="0.2">
      <c r="B138" s="18"/>
      <c r="C138" s="18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2:12" x14ac:dyDescent="0.2">
      <c r="B139" s="18"/>
      <c r="C139" s="18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2:12" x14ac:dyDescent="0.2">
      <c r="B140" s="18"/>
      <c r="C140" s="18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2:12" x14ac:dyDescent="0.2">
      <c r="B141" s="18"/>
      <c r="C141" s="18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2:12" x14ac:dyDescent="0.2">
      <c r="B142" s="18"/>
      <c r="C142" s="18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2:12" x14ac:dyDescent="0.2">
      <c r="B143" s="18"/>
      <c r="C143" s="18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2:12" x14ac:dyDescent="0.2">
      <c r="B144" s="18"/>
      <c r="C144" s="18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2:12" x14ac:dyDescent="0.2">
      <c r="B145" s="18"/>
      <c r="C145" s="18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2:12" x14ac:dyDescent="0.2">
      <c r="B146" s="18"/>
      <c r="C146" s="18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2:12" x14ac:dyDescent="0.2">
      <c r="B147" s="18"/>
      <c r="C147" s="18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2:12" x14ac:dyDescent="0.2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2:12" x14ac:dyDescent="0.2">
      <c r="B149" s="18"/>
      <c r="C149" s="18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2:12" x14ac:dyDescent="0.2">
      <c r="B150" s="18"/>
      <c r="C150" s="18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2:12" x14ac:dyDescent="0.2">
      <c r="B151" s="18"/>
      <c r="C151" s="18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2:12" x14ac:dyDescent="0.2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2:12" x14ac:dyDescent="0.2">
      <c r="B153" s="18"/>
      <c r="C153" s="18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2:12" x14ac:dyDescent="0.2">
      <c r="B154" s="18"/>
      <c r="C154" s="18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2:12" x14ac:dyDescent="0.2">
      <c r="B155" s="18"/>
      <c r="C155" s="18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2:12" x14ac:dyDescent="0.2">
      <c r="B156" s="18"/>
      <c r="C156" s="18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2:12" x14ac:dyDescent="0.2">
      <c r="B157" s="18"/>
      <c r="C157" s="18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2:12" x14ac:dyDescent="0.2">
      <c r="B158" s="18"/>
      <c r="C158" s="18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2:12" x14ac:dyDescent="0.2">
      <c r="B159" s="18"/>
      <c r="C159" s="18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2:12" x14ac:dyDescent="0.2">
      <c r="B160" s="18"/>
      <c r="C160" s="18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2:12" x14ac:dyDescent="0.2">
      <c r="B161" s="18"/>
      <c r="C161" s="18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2:12" x14ac:dyDescent="0.2">
      <c r="B162" s="18"/>
      <c r="C162" s="18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2:12" x14ac:dyDescent="0.2">
      <c r="B163" s="18"/>
      <c r="C163" s="18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2:12" x14ac:dyDescent="0.2">
      <c r="B164" s="18"/>
      <c r="C164" s="18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2:12" x14ac:dyDescent="0.2">
      <c r="B165" s="18"/>
      <c r="C165" s="18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2:12" x14ac:dyDescent="0.2">
      <c r="B166" s="18"/>
      <c r="C166" s="18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2:12" x14ac:dyDescent="0.2">
      <c r="B167" s="18"/>
      <c r="C167" s="18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x14ac:dyDescent="0.2">
      <c r="B168" s="18"/>
      <c r="C168" s="18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2:12" x14ac:dyDescent="0.2">
      <c r="B169" s="18"/>
      <c r="C169" s="18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2:12" x14ac:dyDescent="0.2">
      <c r="B170" s="18"/>
      <c r="C170" s="18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2:12" x14ac:dyDescent="0.2">
      <c r="B171" s="18"/>
      <c r="C171" s="18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2:12" x14ac:dyDescent="0.2">
      <c r="B172" s="18"/>
      <c r="C172" s="18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2:12" x14ac:dyDescent="0.2">
      <c r="B173" s="18"/>
      <c r="C173" s="18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2:12" x14ac:dyDescent="0.2">
      <c r="B174" s="18"/>
      <c r="C174" s="18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x14ac:dyDescent="0.2">
      <c r="B175" s="18"/>
      <c r="C175" s="18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2:12" x14ac:dyDescent="0.2">
      <c r="B176" s="18"/>
      <c r="C176" s="18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2:12" x14ac:dyDescent="0.2">
      <c r="B177" s="18"/>
      <c r="C177" s="18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2:12" x14ac:dyDescent="0.2">
      <c r="B178" s="18"/>
      <c r="C178" s="18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2:12" x14ac:dyDescent="0.2">
      <c r="B179" s="18"/>
      <c r="C179" s="18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2:12" x14ac:dyDescent="0.2">
      <c r="B180" s="18"/>
      <c r="C180" s="18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2:12" x14ac:dyDescent="0.2">
      <c r="B181" s="18"/>
      <c r="C181" s="18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2:12" x14ac:dyDescent="0.2">
      <c r="B182" s="18"/>
      <c r="C182" s="18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2:12" x14ac:dyDescent="0.2">
      <c r="B183" s="18"/>
      <c r="C183" s="18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2:12" x14ac:dyDescent="0.2">
      <c r="B184" s="18"/>
      <c r="C184" s="18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2:12" x14ac:dyDescent="0.2">
      <c r="B185" s="18"/>
      <c r="C185" s="18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2:12" x14ac:dyDescent="0.2">
      <c r="B186" s="18"/>
      <c r="C186" s="18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2:12" x14ac:dyDescent="0.2">
      <c r="B187" s="18"/>
      <c r="C187" s="18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2:12" x14ac:dyDescent="0.2">
      <c r="B188" s="18"/>
      <c r="C188" s="18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2:12" x14ac:dyDescent="0.2">
      <c r="B189" s="18"/>
      <c r="C189" s="18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2:12" x14ac:dyDescent="0.2">
      <c r="B190" s="18"/>
      <c r="C190" s="18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2:12" x14ac:dyDescent="0.2">
      <c r="B191" s="18"/>
      <c r="C191" s="18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2:12" x14ac:dyDescent="0.2">
      <c r="B192" s="18"/>
      <c r="C192" s="18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2:12" x14ac:dyDescent="0.2">
      <c r="B193" s="18"/>
      <c r="C193" s="18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2:12" x14ac:dyDescent="0.2">
      <c r="B194" s="18"/>
      <c r="C194" s="18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2:12" x14ac:dyDescent="0.2">
      <c r="B195" s="18"/>
      <c r="C195" s="18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2:12" x14ac:dyDescent="0.2">
      <c r="B196" s="18"/>
      <c r="C196" s="18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2:12" x14ac:dyDescent="0.2">
      <c r="B197" s="18"/>
      <c r="C197" s="18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2:12" x14ac:dyDescent="0.2">
      <c r="B198" s="18"/>
      <c r="C198" s="18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2:12" x14ac:dyDescent="0.2">
      <c r="B199" s="18"/>
      <c r="C199" s="18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x14ac:dyDescent="0.2">
      <c r="B200" s="18"/>
      <c r="C200" s="18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2:12" x14ac:dyDescent="0.2">
      <c r="B201" s="18"/>
      <c r="C201" s="18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2:12" x14ac:dyDescent="0.2">
      <c r="B202" s="18"/>
      <c r="C202" s="18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2:12" x14ac:dyDescent="0.2">
      <c r="B203" s="18"/>
      <c r="C203" s="18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2:12" x14ac:dyDescent="0.2">
      <c r="B204" s="18"/>
      <c r="C204" s="18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2:12" x14ac:dyDescent="0.2">
      <c r="B205" s="18"/>
      <c r="C205" s="18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2:12" x14ac:dyDescent="0.2">
      <c r="B206" s="18"/>
      <c r="C206" s="18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2:12" x14ac:dyDescent="0.2">
      <c r="B207" s="18"/>
      <c r="C207" s="18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2:12" x14ac:dyDescent="0.2">
      <c r="B208" s="18"/>
      <c r="C208" s="18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2:12" x14ac:dyDescent="0.2">
      <c r="B209" s="18"/>
      <c r="C209" s="18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2:12" x14ac:dyDescent="0.2">
      <c r="B210" s="18"/>
      <c r="C210" s="18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2:12" x14ac:dyDescent="0.2">
      <c r="B211" s="18"/>
      <c r="C211" s="18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2:12" x14ac:dyDescent="0.2">
      <c r="B212" s="18"/>
      <c r="C212" s="18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2:12" x14ac:dyDescent="0.2">
      <c r="B213" s="18"/>
      <c r="C213" s="18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2:12" x14ac:dyDescent="0.2">
      <c r="B214" s="18"/>
      <c r="C214" s="18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2:12" x14ac:dyDescent="0.2">
      <c r="B215" s="18"/>
      <c r="C215" s="18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2:12" x14ac:dyDescent="0.2">
      <c r="B216" s="18"/>
      <c r="C216" s="18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2:12" x14ac:dyDescent="0.2">
      <c r="B217" s="18"/>
      <c r="C217" s="18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2:12" x14ac:dyDescent="0.2">
      <c r="B218" s="18"/>
      <c r="C218" s="18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2:12" x14ac:dyDescent="0.2">
      <c r="B219" s="18"/>
      <c r="C219" s="18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2" x14ac:dyDescent="0.2">
      <c r="B220" s="18"/>
      <c r="C220" s="18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2:12" x14ac:dyDescent="0.2">
      <c r="B221" s="18"/>
      <c r="C221" s="18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2:12" x14ac:dyDescent="0.2">
      <c r="B222" s="18"/>
      <c r="C222" s="18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2:12" x14ac:dyDescent="0.2">
      <c r="B223" s="18"/>
      <c r="C223" s="18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x14ac:dyDescent="0.2">
      <c r="B224" s="18"/>
      <c r="C224" s="18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2:12" x14ac:dyDescent="0.2">
      <c r="B225" s="18"/>
      <c r="C225" s="18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2:12" x14ac:dyDescent="0.2">
      <c r="B226" s="18"/>
      <c r="C226" s="18"/>
      <c r="D226" s="19"/>
      <c r="E226" s="19"/>
      <c r="F226" s="19"/>
      <c r="G226" s="19"/>
      <c r="H226" s="19"/>
      <c r="I226" s="19"/>
      <c r="J226" s="19"/>
      <c r="K226" s="19"/>
      <c r="L226" s="19"/>
    </row>
    <row r="227" spans="2:12" x14ac:dyDescent="0.2">
      <c r="B227" s="18"/>
      <c r="C227" s="18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2:12" x14ac:dyDescent="0.2">
      <c r="B228" s="18"/>
      <c r="C228" s="18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2:12" x14ac:dyDescent="0.2">
      <c r="B229" s="18"/>
      <c r="C229" s="18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2:12" x14ac:dyDescent="0.2">
      <c r="B230" s="18"/>
      <c r="C230" s="18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2:12" x14ac:dyDescent="0.2">
      <c r="B231" s="18"/>
      <c r="C231" s="18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2:12" x14ac:dyDescent="0.2">
      <c r="B232" s="18"/>
      <c r="C232" s="18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2:12" x14ac:dyDescent="0.2">
      <c r="B233" s="18"/>
      <c r="C233" s="18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2:12" x14ac:dyDescent="0.2">
      <c r="B234" s="18"/>
      <c r="C234" s="18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2:12" x14ac:dyDescent="0.2">
      <c r="B235" s="18"/>
      <c r="C235" s="18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2:12" x14ac:dyDescent="0.2">
      <c r="B236" s="18"/>
      <c r="C236" s="18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2:12" x14ac:dyDescent="0.2">
      <c r="B237" s="18"/>
      <c r="C237" s="18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2:12" x14ac:dyDescent="0.2">
      <c r="B238" s="18"/>
      <c r="C238" s="18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2:12" x14ac:dyDescent="0.2">
      <c r="B239" s="18"/>
      <c r="C239" s="18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2:12" x14ac:dyDescent="0.2">
      <c r="B240" s="18"/>
      <c r="C240" s="18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x14ac:dyDescent="0.2">
      <c r="B241" s="18"/>
      <c r="C241" s="18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2:12" x14ac:dyDescent="0.2">
      <c r="B242" s="18"/>
      <c r="C242" s="18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2:12" x14ac:dyDescent="0.2">
      <c r="B243" s="18"/>
      <c r="C243" s="18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2:12" x14ac:dyDescent="0.2">
      <c r="B244" s="18"/>
      <c r="C244" s="18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2:12" x14ac:dyDescent="0.2">
      <c r="B245" s="18"/>
      <c r="C245" s="18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2:12" x14ac:dyDescent="0.2">
      <c r="B246" s="18"/>
      <c r="C246" s="18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2:12" x14ac:dyDescent="0.2">
      <c r="B247" s="18"/>
      <c r="C247" s="18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2:12" x14ac:dyDescent="0.2">
      <c r="B248" s="18"/>
      <c r="C248" s="18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2:12" x14ac:dyDescent="0.2">
      <c r="B249" s="18"/>
      <c r="C249" s="18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2:12" x14ac:dyDescent="0.2">
      <c r="B250" s="18"/>
      <c r="C250" s="18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2:12" x14ac:dyDescent="0.2">
      <c r="B251" s="18"/>
      <c r="C251" s="18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2:12" x14ac:dyDescent="0.2">
      <c r="B252" s="18"/>
      <c r="C252" s="18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2:12" x14ac:dyDescent="0.2">
      <c r="B253" s="18"/>
      <c r="C253" s="18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2:12" x14ac:dyDescent="0.2">
      <c r="B254" s="18"/>
      <c r="C254" s="18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2:12" x14ac:dyDescent="0.2">
      <c r="B255" s="18"/>
      <c r="C255" s="18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2:12" x14ac:dyDescent="0.2">
      <c r="B256" s="18"/>
      <c r="C256" s="18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2:12" x14ac:dyDescent="0.2">
      <c r="B257" s="18"/>
      <c r="C257" s="18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2:12" x14ac:dyDescent="0.2">
      <c r="B258" s="18"/>
      <c r="C258" s="18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2:12" x14ac:dyDescent="0.2">
      <c r="B259" s="18"/>
      <c r="C259" s="18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2:12" x14ac:dyDescent="0.2">
      <c r="B260" s="18"/>
      <c r="C260" s="18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2:12" x14ac:dyDescent="0.2">
      <c r="B261" s="18"/>
      <c r="C261" s="18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2:12" x14ac:dyDescent="0.2">
      <c r="B262" s="18"/>
      <c r="C262" s="18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2:12" x14ac:dyDescent="0.2">
      <c r="B263" s="18"/>
      <c r="C263" s="18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2:12" x14ac:dyDescent="0.2">
      <c r="B264" s="18"/>
      <c r="C264" s="18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2:12" x14ac:dyDescent="0.2">
      <c r="B265" s="18"/>
      <c r="C265" s="18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2:12" x14ac:dyDescent="0.2">
      <c r="B266" s="18"/>
      <c r="C266" s="18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2:12" x14ac:dyDescent="0.2">
      <c r="B267" s="18"/>
      <c r="C267" s="18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2:12" x14ac:dyDescent="0.2">
      <c r="B268" s="18"/>
      <c r="C268" s="18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2:12" x14ac:dyDescent="0.2">
      <c r="B269" s="18"/>
      <c r="C269" s="18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2:12" x14ac:dyDescent="0.2">
      <c r="B270" s="18"/>
      <c r="C270" s="18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2:12" x14ac:dyDescent="0.2">
      <c r="B271" s="18"/>
      <c r="C271" s="18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2:12" x14ac:dyDescent="0.2">
      <c r="B272" s="18"/>
      <c r="C272" s="18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2:12" x14ac:dyDescent="0.2">
      <c r="B273" s="18"/>
      <c r="C273" s="18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2:12" x14ac:dyDescent="0.2">
      <c r="B274" s="18"/>
      <c r="C274" s="18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2:12" x14ac:dyDescent="0.2">
      <c r="B275" s="18"/>
      <c r="C275" s="18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2:12" x14ac:dyDescent="0.2">
      <c r="B276" s="18"/>
      <c r="C276" s="18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2:12" x14ac:dyDescent="0.2">
      <c r="B277" s="18"/>
      <c r="C277" s="18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2:12" x14ac:dyDescent="0.2">
      <c r="B278" s="18"/>
      <c r="C278" s="18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2:12" x14ac:dyDescent="0.2">
      <c r="B279" s="18"/>
      <c r="C279" s="18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2:12" x14ac:dyDescent="0.2">
      <c r="B280" s="18"/>
      <c r="C280" s="18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2:12" x14ac:dyDescent="0.2">
      <c r="B281" s="18"/>
      <c r="C281" s="18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2:12" x14ac:dyDescent="0.2">
      <c r="B282" s="18"/>
      <c r="C282" s="18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2:12" x14ac:dyDescent="0.2">
      <c r="B283" s="18"/>
      <c r="C283" s="18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2:12" x14ac:dyDescent="0.2">
      <c r="B284" s="18"/>
      <c r="C284" s="18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2:12" x14ac:dyDescent="0.2">
      <c r="B285" s="18"/>
      <c r="C285" s="18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2:12" x14ac:dyDescent="0.2">
      <c r="B286" s="18"/>
      <c r="C286" s="18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2:12" x14ac:dyDescent="0.2">
      <c r="B287" s="18"/>
      <c r="C287" s="18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2:12" x14ac:dyDescent="0.2">
      <c r="B288" s="18"/>
      <c r="C288" s="18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2:12" x14ac:dyDescent="0.2">
      <c r="B289" s="18"/>
      <c r="C289" s="18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2:12" x14ac:dyDescent="0.2">
      <c r="B290" s="18"/>
      <c r="C290" s="18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2:12" x14ac:dyDescent="0.2">
      <c r="B291" s="18"/>
      <c r="C291" s="18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2:12" x14ac:dyDescent="0.2">
      <c r="B292" s="18"/>
      <c r="C292" s="18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2:12" x14ac:dyDescent="0.2">
      <c r="B293" s="18"/>
      <c r="C293" s="18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2:12" x14ac:dyDescent="0.2">
      <c r="B294" s="18"/>
      <c r="C294" s="18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2:12" x14ac:dyDescent="0.2">
      <c r="B295" s="18"/>
      <c r="C295" s="18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2:12" x14ac:dyDescent="0.2">
      <c r="B296" s="18"/>
      <c r="C296" s="18"/>
      <c r="D296" s="19"/>
      <c r="E296" s="19"/>
      <c r="F296" s="19"/>
      <c r="G296" s="19"/>
      <c r="H296" s="19"/>
      <c r="I296" s="19"/>
      <c r="J296" s="19"/>
      <c r="K296" s="19"/>
      <c r="L296" s="19"/>
    </row>
    <row r="297" spans="2:12" x14ac:dyDescent="0.2">
      <c r="B297" s="18"/>
      <c r="C297" s="18"/>
      <c r="D297" s="19"/>
      <c r="E297" s="19"/>
      <c r="F297" s="19"/>
      <c r="G297" s="19"/>
      <c r="H297" s="19"/>
      <c r="I297" s="19"/>
      <c r="J297" s="19"/>
      <c r="K297" s="19"/>
      <c r="L297" s="19"/>
    </row>
    <row r="298" spans="2:12" x14ac:dyDescent="0.2">
      <c r="B298" s="18"/>
      <c r="C298" s="18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2:12" x14ac:dyDescent="0.2">
      <c r="B299" s="18"/>
      <c r="C299" s="18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2:12" x14ac:dyDescent="0.2">
      <c r="B300" s="18"/>
      <c r="C300" s="18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2:12" x14ac:dyDescent="0.2">
      <c r="B301" s="18"/>
      <c r="C301" s="18"/>
      <c r="D301" s="19"/>
      <c r="E301" s="19"/>
      <c r="F301" s="19"/>
      <c r="G301" s="19"/>
      <c r="H301" s="19"/>
      <c r="I301" s="19"/>
      <c r="J301" s="19"/>
      <c r="K301" s="19"/>
      <c r="L301" s="19"/>
    </row>
    <row r="302" spans="2:12" x14ac:dyDescent="0.2">
      <c r="B302" s="18"/>
      <c r="C302" s="18"/>
      <c r="D302" s="19"/>
      <c r="E302" s="19"/>
      <c r="F302" s="19"/>
      <c r="G302" s="19"/>
      <c r="H302" s="19"/>
      <c r="I302" s="19"/>
      <c r="J302" s="19"/>
      <c r="K302" s="19"/>
      <c r="L302" s="19"/>
    </row>
    <row r="303" spans="2:12" x14ac:dyDescent="0.2">
      <c r="B303" s="18"/>
      <c r="C303" s="18"/>
      <c r="D303" s="19"/>
      <c r="E303" s="19"/>
      <c r="F303" s="19"/>
      <c r="G303" s="19"/>
      <c r="H303" s="19"/>
      <c r="I303" s="19"/>
      <c r="J303" s="19"/>
      <c r="K303" s="19"/>
      <c r="L303" s="19"/>
    </row>
    <row r="304" spans="2:12" x14ac:dyDescent="0.2">
      <c r="B304" s="18"/>
      <c r="C304" s="18"/>
      <c r="D304" s="19"/>
      <c r="E304" s="19"/>
      <c r="F304" s="19"/>
      <c r="G304" s="19"/>
      <c r="H304" s="19"/>
      <c r="I304" s="19"/>
      <c r="J304" s="19"/>
      <c r="K304" s="19"/>
      <c r="L304" s="19"/>
    </row>
    <row r="305" spans="2:12" x14ac:dyDescent="0.2">
      <c r="B305" s="18"/>
      <c r="C305" s="18"/>
      <c r="D305" s="19"/>
      <c r="E305" s="19"/>
      <c r="F305" s="19"/>
      <c r="G305" s="19"/>
      <c r="H305" s="19"/>
      <c r="I305" s="19"/>
      <c r="J305" s="19"/>
      <c r="K305" s="19"/>
      <c r="L305" s="19"/>
    </row>
    <row r="306" spans="2:12" x14ac:dyDescent="0.2">
      <c r="B306" s="18"/>
      <c r="C306" s="18"/>
      <c r="D306" s="19"/>
      <c r="E306" s="19"/>
      <c r="F306" s="19"/>
      <c r="G306" s="19"/>
      <c r="H306" s="19"/>
      <c r="I306" s="19"/>
      <c r="J306" s="19"/>
      <c r="K306" s="19"/>
      <c r="L306" s="19"/>
    </row>
    <row r="307" spans="2:12" x14ac:dyDescent="0.2">
      <c r="B307" s="18"/>
      <c r="C307" s="18"/>
      <c r="D307" s="19"/>
      <c r="E307" s="19"/>
      <c r="F307" s="19"/>
      <c r="G307" s="19"/>
      <c r="H307" s="19"/>
      <c r="I307" s="19"/>
      <c r="J307" s="19"/>
      <c r="K307" s="19"/>
      <c r="L307" s="19"/>
    </row>
    <row r="308" spans="2:12" x14ac:dyDescent="0.2">
      <c r="B308" s="18"/>
      <c r="C308" s="18"/>
      <c r="D308" s="19"/>
      <c r="E308" s="19"/>
      <c r="F308" s="19"/>
      <c r="G308" s="19"/>
      <c r="H308" s="19"/>
      <c r="I308" s="19"/>
      <c r="J308" s="19"/>
      <c r="K308" s="19"/>
      <c r="L308" s="19"/>
    </row>
    <row r="309" spans="2:12" x14ac:dyDescent="0.2">
      <c r="B309" s="18"/>
      <c r="C309" s="18"/>
      <c r="D309" s="19"/>
      <c r="E309" s="19"/>
      <c r="F309" s="19"/>
      <c r="G309" s="19"/>
      <c r="H309" s="19"/>
      <c r="I309" s="19"/>
      <c r="J309" s="19"/>
      <c r="K309" s="19"/>
      <c r="L309" s="19"/>
    </row>
    <row r="310" spans="2:12" x14ac:dyDescent="0.2">
      <c r="B310" s="18"/>
      <c r="C310" s="18"/>
      <c r="D310" s="19"/>
      <c r="E310" s="19"/>
      <c r="F310" s="19"/>
      <c r="G310" s="19"/>
      <c r="H310" s="19"/>
      <c r="I310" s="19"/>
      <c r="J310" s="19"/>
      <c r="K310" s="19"/>
      <c r="L310" s="19"/>
    </row>
    <row r="311" spans="2:12" x14ac:dyDescent="0.2">
      <c r="B311" s="18"/>
      <c r="C311" s="18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2:12" x14ac:dyDescent="0.2">
      <c r="B312" s="18"/>
      <c r="C312" s="18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2:12" x14ac:dyDescent="0.2">
      <c r="B313" s="18"/>
      <c r="C313" s="18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2:12" x14ac:dyDescent="0.2">
      <c r="B314" s="18"/>
      <c r="C314" s="18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2:12" x14ac:dyDescent="0.2">
      <c r="B315" s="18"/>
      <c r="C315" s="18"/>
      <c r="D315" s="19"/>
      <c r="E315" s="19"/>
      <c r="F315" s="19"/>
      <c r="G315" s="19"/>
      <c r="H315" s="19"/>
      <c r="I315" s="19"/>
      <c r="J315" s="19"/>
      <c r="K315" s="19"/>
      <c r="L315" s="19"/>
    </row>
    <row r="316" spans="2:12" x14ac:dyDescent="0.2">
      <c r="B316" s="18"/>
      <c r="C316" s="18"/>
      <c r="D316" s="19"/>
      <c r="E316" s="19"/>
      <c r="F316" s="19"/>
      <c r="G316" s="19"/>
      <c r="H316" s="19"/>
      <c r="I316" s="19"/>
      <c r="J316" s="19"/>
      <c r="K316" s="19"/>
      <c r="L316" s="19"/>
    </row>
    <row r="317" spans="2:12" x14ac:dyDescent="0.2">
      <c r="B317" s="18"/>
      <c r="C317" s="18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2:12" x14ac:dyDescent="0.2">
      <c r="B318" s="18"/>
      <c r="C318" s="18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2:12" x14ac:dyDescent="0.2">
      <c r="B319" s="18"/>
      <c r="C319" s="18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2:12" x14ac:dyDescent="0.2">
      <c r="B320" s="18"/>
      <c r="C320" s="18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2:12" x14ac:dyDescent="0.2">
      <c r="B321" s="18"/>
      <c r="C321" s="18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2:12" x14ac:dyDescent="0.2">
      <c r="B322" s="18"/>
      <c r="C322" s="18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2:12" x14ac:dyDescent="0.2">
      <c r="B323" s="18"/>
      <c r="C323" s="18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2:12" x14ac:dyDescent="0.2">
      <c r="B324" s="18"/>
    </row>
  </sheetData>
  <sheetProtection algorithmName="SHA-512" hashValue="mqbMjegFcyXTWxPbSHRwqpK+yrcnI42EUxcJsFtHLVHvXsqW8WpTa933zKDuKq5zXhL9uqhPrGmKprVRe5UaxA==" saltValue="opVx84S9LWzrDfLH2XIiIg==" spinCount="100000" sheet="1" objects="1" scenarios="1"/>
  <phoneticPr fontId="23" type="noConversion"/>
  <pageMargins left="0.25" right="0.25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K80"/>
  <sheetViews>
    <sheetView zoomScale="90" zoomScaleNormal="90" workbookViewId="0">
      <pane xSplit="1" topLeftCell="B1" activePane="topRight" state="frozen"/>
      <selection pane="topRight" activeCell="F14" sqref="F14"/>
    </sheetView>
  </sheetViews>
  <sheetFormatPr baseColWidth="10" defaultColWidth="9.140625" defaultRowHeight="12.75" x14ac:dyDescent="0.2"/>
  <cols>
    <col min="1" max="1" width="58.7109375" customWidth="1"/>
    <col min="2" max="2" width="14.7109375" bestFit="1" customWidth="1"/>
    <col min="3" max="3" width="18.85546875" bestFit="1" customWidth="1"/>
    <col min="4" max="28" width="14.7109375" customWidth="1"/>
    <col min="29" max="29" width="14.85546875" bestFit="1" customWidth="1"/>
    <col min="30" max="31" width="14.7109375" customWidth="1"/>
  </cols>
  <sheetData>
    <row r="1" spans="1:3" s="14" customFormat="1" x14ac:dyDescent="0.2"/>
    <row r="2" spans="1:3" s="14" customFormat="1" ht="40.5" x14ac:dyDescent="0.55000000000000004">
      <c r="B2" s="20" t="s">
        <v>73</v>
      </c>
    </row>
    <row r="3" spans="1:3" s="14" customFormat="1" x14ac:dyDescent="0.2"/>
    <row r="4" spans="1:3" s="14" customFormat="1" x14ac:dyDescent="0.2"/>
    <row r="5" spans="1:3" x14ac:dyDescent="0.2">
      <c r="A5" s="12" t="s">
        <v>54</v>
      </c>
      <c r="B5" s="27"/>
      <c r="C5" s="12"/>
    </row>
    <row r="6" spans="1:3" x14ac:dyDescent="0.2">
      <c r="A6" s="12" t="s">
        <v>52</v>
      </c>
      <c r="B6" s="27" t="s">
        <v>53</v>
      </c>
      <c r="C6" s="12" t="s">
        <v>51</v>
      </c>
    </row>
    <row r="7" spans="1:3" x14ac:dyDescent="0.2">
      <c r="A7" s="12" t="s">
        <v>16</v>
      </c>
      <c r="B7" s="13">
        <v>6</v>
      </c>
      <c r="C7" s="12" t="s">
        <v>50</v>
      </c>
    </row>
    <row r="8" spans="1:3" x14ac:dyDescent="0.2">
      <c r="A8" s="12" t="s">
        <v>17</v>
      </c>
      <c r="B8" s="13">
        <v>13</v>
      </c>
      <c r="C8" s="12" t="s">
        <v>50</v>
      </c>
    </row>
    <row r="9" spans="1:3" x14ac:dyDescent="0.2">
      <c r="A9" s="12" t="s">
        <v>18</v>
      </c>
      <c r="B9" s="13">
        <v>21</v>
      </c>
      <c r="C9" s="12" t="s">
        <v>50</v>
      </c>
    </row>
    <row r="10" spans="1:3" x14ac:dyDescent="0.2">
      <c r="A10" s="12" t="s">
        <v>19</v>
      </c>
      <c r="B10" s="13">
        <v>29</v>
      </c>
      <c r="C10" s="12" t="s">
        <v>50</v>
      </c>
    </row>
    <row r="11" spans="1:3" x14ac:dyDescent="0.2">
      <c r="A11" s="12" t="s">
        <v>20</v>
      </c>
      <c r="B11" s="13">
        <v>37</v>
      </c>
      <c r="C11" s="12" t="s">
        <v>50</v>
      </c>
    </row>
    <row r="12" spans="1:3" x14ac:dyDescent="0.2">
      <c r="A12" s="12" t="s">
        <v>12</v>
      </c>
      <c r="B12" s="13">
        <v>45</v>
      </c>
      <c r="C12" s="12" t="s">
        <v>50</v>
      </c>
    </row>
    <row r="13" spans="1:3" x14ac:dyDescent="0.2">
      <c r="A13" s="12" t="s">
        <v>21</v>
      </c>
      <c r="B13" s="13">
        <v>48</v>
      </c>
      <c r="C13" s="12" t="s">
        <v>50</v>
      </c>
    </row>
    <row r="14" spans="1:3" ht="51" x14ac:dyDescent="0.2">
      <c r="A14" s="12" t="s">
        <v>29</v>
      </c>
      <c r="B14" s="40">
        <v>1.8</v>
      </c>
      <c r="C14" s="29" t="s">
        <v>75</v>
      </c>
    </row>
    <row r="15" spans="1:3" x14ac:dyDescent="0.2">
      <c r="A15" s="12" t="s">
        <v>218</v>
      </c>
      <c r="B15" s="106">
        <f>+'Input, kommunale barnehager'!J52*Forside!F49*Forside!G49</f>
        <v>237817804.32629827</v>
      </c>
      <c r="C15" s="12" t="s">
        <v>221</v>
      </c>
    </row>
    <row r="16" spans="1:3" x14ac:dyDescent="0.2">
      <c r="A16" s="12" t="s">
        <v>223</v>
      </c>
      <c r="B16" s="28">
        <f>-I53+(G80*Forside!F49*Forside!G49)</f>
        <v>-28179226.601873334</v>
      </c>
      <c r="C16" s="12" t="s">
        <v>224</v>
      </c>
    </row>
    <row r="17" spans="1:10" ht="38.25" x14ac:dyDescent="0.2">
      <c r="A17" s="12" t="s">
        <v>37</v>
      </c>
      <c r="B17" s="84">
        <v>4.2999999999999997E-2</v>
      </c>
      <c r="C17" s="29" t="s">
        <v>58</v>
      </c>
    </row>
    <row r="18" spans="1:10" ht="38.25" x14ac:dyDescent="0.2">
      <c r="A18" s="32" t="s">
        <v>56</v>
      </c>
      <c r="B18" s="107">
        <f>ROUND(9500*1.028,-2)*0</f>
        <v>0</v>
      </c>
      <c r="C18" s="29" t="s">
        <v>58</v>
      </c>
    </row>
    <row r="19" spans="1:10" ht="38.25" x14ac:dyDescent="0.2">
      <c r="A19" s="32" t="s">
        <v>57</v>
      </c>
      <c r="B19" s="107">
        <f>ROUND(9500*1.028,-2)*0</f>
        <v>0</v>
      </c>
      <c r="C19" s="29" t="s">
        <v>58</v>
      </c>
    </row>
    <row r="20" spans="1:10" x14ac:dyDescent="0.2">
      <c r="A20" s="2"/>
      <c r="B20" s="5"/>
      <c r="C20" s="2"/>
    </row>
    <row r="21" spans="1:10" x14ac:dyDescent="0.2">
      <c r="A21" s="2"/>
      <c r="B21" s="5"/>
      <c r="C21" s="2"/>
    </row>
    <row r="22" spans="1:10" s="30" customFormat="1" x14ac:dyDescent="0.2">
      <c r="A22" s="31" t="s">
        <v>55</v>
      </c>
      <c r="B22" s="31"/>
      <c r="C22" s="31"/>
      <c r="D22" s="31"/>
      <c r="E22" s="31" t="s">
        <v>274</v>
      </c>
      <c r="F22" s="31"/>
      <c r="G22" s="31"/>
      <c r="H22" s="31"/>
      <c r="I22" s="31"/>
    </row>
    <row r="23" spans="1:10" s="30" customFormat="1" x14ac:dyDescent="0.2">
      <c r="A23" s="32" t="s">
        <v>13</v>
      </c>
      <c r="B23" s="188"/>
      <c r="C23" s="190"/>
      <c r="D23" s="113"/>
      <c r="E23" s="188" t="s">
        <v>14</v>
      </c>
      <c r="F23" s="189"/>
      <c r="G23" s="190"/>
      <c r="H23" s="188" t="s">
        <v>22</v>
      </c>
      <c r="I23" s="190"/>
    </row>
    <row r="24" spans="1:10" s="30" customFormat="1" x14ac:dyDescent="0.2">
      <c r="A24" s="32" t="s">
        <v>13</v>
      </c>
      <c r="B24" s="33"/>
      <c r="C24" s="33"/>
      <c r="D24" s="33"/>
      <c r="E24" s="33" t="s">
        <v>23</v>
      </c>
      <c r="F24" s="33" t="s">
        <v>24</v>
      </c>
      <c r="G24" s="33" t="s">
        <v>15</v>
      </c>
      <c r="H24" s="33" t="s">
        <v>249</v>
      </c>
      <c r="I24" s="33" t="s">
        <v>250</v>
      </c>
    </row>
    <row r="25" spans="1:10" x14ac:dyDescent="0.2">
      <c r="A25" s="32" t="s">
        <v>7</v>
      </c>
      <c r="B25" s="73"/>
      <c r="C25" s="74"/>
      <c r="D25" s="41"/>
      <c r="E25" s="92">
        <v>0</v>
      </c>
      <c r="F25" s="93">
        <v>0</v>
      </c>
      <c r="G25" s="76">
        <f t="shared" ref="G25:G30" si="0">+E25+F25</f>
        <v>0</v>
      </c>
      <c r="H25" s="75">
        <f t="shared" ref="H25:H30" si="1">+E25*B7*$B$13</f>
        <v>0</v>
      </c>
      <c r="I25" s="75">
        <f t="shared" ref="I25:I30" si="2">+F25*B7*$B$13</f>
        <v>0</v>
      </c>
    </row>
    <row r="26" spans="1:10" x14ac:dyDescent="0.2">
      <c r="A26" s="32" t="s">
        <v>8</v>
      </c>
      <c r="B26" s="73"/>
      <c r="C26" s="74"/>
      <c r="D26" s="41"/>
      <c r="E26" s="92">
        <v>0</v>
      </c>
      <c r="F26" s="93">
        <v>0</v>
      </c>
      <c r="G26" s="76">
        <f t="shared" si="0"/>
        <v>0</v>
      </c>
      <c r="H26" s="75">
        <f t="shared" si="1"/>
        <v>0</v>
      </c>
      <c r="I26" s="75">
        <f t="shared" si="2"/>
        <v>0</v>
      </c>
    </row>
    <row r="27" spans="1:10" x14ac:dyDescent="0.2">
      <c r="A27" s="32" t="s">
        <v>9</v>
      </c>
      <c r="B27" s="73"/>
      <c r="C27" s="74"/>
      <c r="D27" s="41"/>
      <c r="E27" s="92">
        <v>4</v>
      </c>
      <c r="F27" s="93">
        <v>2</v>
      </c>
      <c r="G27" s="76">
        <f t="shared" si="0"/>
        <v>6</v>
      </c>
      <c r="H27" s="75">
        <f t="shared" si="1"/>
        <v>4032</v>
      </c>
      <c r="I27" s="75">
        <f t="shared" si="2"/>
        <v>2016</v>
      </c>
    </row>
    <row r="28" spans="1:10" x14ac:dyDescent="0.2">
      <c r="A28" s="32" t="s">
        <v>10</v>
      </c>
      <c r="B28" s="73"/>
      <c r="C28" s="74"/>
      <c r="D28" s="41"/>
      <c r="E28" s="92">
        <v>0</v>
      </c>
      <c r="F28" s="93">
        <v>0</v>
      </c>
      <c r="G28" s="76">
        <f t="shared" si="0"/>
        <v>0</v>
      </c>
      <c r="H28" s="75">
        <f t="shared" si="1"/>
        <v>0</v>
      </c>
      <c r="I28" s="75">
        <f t="shared" si="2"/>
        <v>0</v>
      </c>
    </row>
    <row r="29" spans="1:10" x14ac:dyDescent="0.2">
      <c r="A29" s="32" t="s">
        <v>11</v>
      </c>
      <c r="B29" s="73"/>
      <c r="C29" s="74"/>
      <c r="D29" s="41"/>
      <c r="E29" s="92">
        <v>0</v>
      </c>
      <c r="F29" s="93">
        <v>0</v>
      </c>
      <c r="G29" s="76">
        <f t="shared" si="0"/>
        <v>0</v>
      </c>
      <c r="H29" s="75">
        <f t="shared" si="1"/>
        <v>0</v>
      </c>
      <c r="I29" s="75">
        <f t="shared" si="2"/>
        <v>0</v>
      </c>
    </row>
    <row r="30" spans="1:10" x14ac:dyDescent="0.2">
      <c r="A30" s="32" t="s">
        <v>12</v>
      </c>
      <c r="B30" s="73"/>
      <c r="C30" s="74"/>
      <c r="D30" s="41"/>
      <c r="E30" s="92">
        <v>366</v>
      </c>
      <c r="F30" s="93">
        <v>783</v>
      </c>
      <c r="G30" s="76">
        <f t="shared" si="0"/>
        <v>1149</v>
      </c>
      <c r="H30" s="75">
        <f t="shared" si="1"/>
        <v>790560</v>
      </c>
      <c r="I30" s="75">
        <f t="shared" si="2"/>
        <v>1691280</v>
      </c>
    </row>
    <row r="31" spans="1:10" x14ac:dyDescent="0.2">
      <c r="A31" s="32" t="s">
        <v>2</v>
      </c>
      <c r="B31" s="31">
        <f t="shared" ref="B31:I31" si="3">SUM(B25:B30)</f>
        <v>0</v>
      </c>
      <c r="C31" s="31">
        <f t="shared" si="3"/>
        <v>0</v>
      </c>
      <c r="D31" s="31">
        <f t="shared" si="3"/>
        <v>0</v>
      </c>
      <c r="E31" s="98">
        <f t="shared" si="3"/>
        <v>370</v>
      </c>
      <c r="F31" s="98">
        <f t="shared" si="3"/>
        <v>785</v>
      </c>
      <c r="G31" s="31">
        <f t="shared" si="3"/>
        <v>1155</v>
      </c>
      <c r="H31" s="69">
        <f t="shared" si="3"/>
        <v>794592</v>
      </c>
      <c r="I31" s="69">
        <f t="shared" si="3"/>
        <v>1693296</v>
      </c>
      <c r="J31" s="99">
        <f>H31+I31</f>
        <v>2487888</v>
      </c>
    </row>
    <row r="32" spans="1:10" s="67" customFormat="1" x14ac:dyDescent="0.2">
      <c r="B32" s="68">
        <f>B25*6/45+B26*13/45+B27*21/45+B28*29/45+B29*37/45+B30*45/45</f>
        <v>0</v>
      </c>
      <c r="C32" s="68">
        <f t="shared" ref="C32:G32" si="4">C25*6/45+C26*13/45+C27*21/45+C28*29/45+C29*37/45+C30*45/45</f>
        <v>0</v>
      </c>
      <c r="D32" s="68">
        <f t="shared" si="4"/>
        <v>0</v>
      </c>
      <c r="E32" s="68">
        <f t="shared" si="4"/>
        <v>367.86666666666667</v>
      </c>
      <c r="F32" s="68">
        <f t="shared" si="4"/>
        <v>783.93333333333328</v>
      </c>
      <c r="G32" s="68">
        <f t="shared" si="4"/>
        <v>1151.8</v>
      </c>
      <c r="H32" s="68"/>
      <c r="I32" s="68"/>
    </row>
    <row r="33" spans="1:11" x14ac:dyDescent="0.2">
      <c r="A33" s="32" t="s">
        <v>22</v>
      </c>
      <c r="B33" s="12" t="s">
        <v>25</v>
      </c>
      <c r="C33" s="12" t="s">
        <v>26</v>
      </c>
      <c r="D33" s="33" t="s">
        <v>234</v>
      </c>
      <c r="E33" s="31" t="s">
        <v>346</v>
      </c>
      <c r="F33" s="31"/>
      <c r="G33" s="31"/>
      <c r="H33" s="31"/>
      <c r="I33" s="31"/>
    </row>
    <row r="34" spans="1:11" x14ac:dyDescent="0.2">
      <c r="A34" s="32" t="s">
        <v>23</v>
      </c>
      <c r="B34" s="34">
        <f>(+H31*7/12)+(H42*5/12)</f>
        <v>804612</v>
      </c>
      <c r="C34" s="35">
        <f>+(B34/45)/48</f>
        <v>372.50555555555553</v>
      </c>
      <c r="D34" s="35">
        <f>B34*1.8*0</f>
        <v>0</v>
      </c>
      <c r="E34" s="188" t="s">
        <v>14</v>
      </c>
      <c r="F34" s="189"/>
      <c r="G34" s="190"/>
      <c r="H34" s="188" t="s">
        <v>22</v>
      </c>
      <c r="I34" s="190"/>
    </row>
    <row r="35" spans="1:11" x14ac:dyDescent="0.2">
      <c r="A35" s="32" t="s">
        <v>24</v>
      </c>
      <c r="B35" s="34">
        <f>(+I31*7/12)+(+I42*5/12)</f>
        <v>1656396</v>
      </c>
      <c r="C35" s="36">
        <f>+(B35/45)/48</f>
        <v>766.85</v>
      </c>
      <c r="D35" s="36">
        <f>B35*1*0</f>
        <v>0</v>
      </c>
      <c r="E35" s="33" t="s">
        <v>23</v>
      </c>
      <c r="F35" s="33" t="s">
        <v>24</v>
      </c>
      <c r="G35" s="33" t="s">
        <v>15</v>
      </c>
      <c r="H35" s="33" t="s">
        <v>260</v>
      </c>
      <c r="I35" s="33" t="s">
        <v>261</v>
      </c>
    </row>
    <row r="36" spans="1:11" ht="13.5" thickBot="1" x14ac:dyDescent="0.25">
      <c r="A36" s="32" t="s">
        <v>0</v>
      </c>
      <c r="B36" s="7">
        <f>SUM(B34:B35)</f>
        <v>2461008</v>
      </c>
      <c r="C36" s="8">
        <f>SUM(C34:C35)</f>
        <v>1139.3555555555556</v>
      </c>
      <c r="D36" s="8">
        <f>SUM(D34:D35)</f>
        <v>0</v>
      </c>
      <c r="E36" s="92">
        <v>0</v>
      </c>
      <c r="F36" s="93">
        <v>0</v>
      </c>
      <c r="G36" s="145">
        <f t="shared" ref="G36:G41" si="5">+E36+F36</f>
        <v>0</v>
      </c>
      <c r="H36" s="3">
        <f t="shared" ref="H36:H40" si="6">+E36*B7*$B$13</f>
        <v>0</v>
      </c>
      <c r="I36" s="70">
        <f t="shared" ref="I36:I41" si="7">+F36*B7*$B$13</f>
        <v>0</v>
      </c>
    </row>
    <row r="37" spans="1:11" x14ac:dyDescent="0.2">
      <c r="E37" s="92">
        <v>0</v>
      </c>
      <c r="F37" s="93">
        <v>0</v>
      </c>
      <c r="G37" s="145">
        <f t="shared" si="5"/>
        <v>0</v>
      </c>
      <c r="H37" s="3">
        <f t="shared" si="6"/>
        <v>0</v>
      </c>
      <c r="I37" s="70">
        <f t="shared" si="7"/>
        <v>0</v>
      </c>
    </row>
    <row r="38" spans="1:11" x14ac:dyDescent="0.2">
      <c r="A38" s="32" t="s">
        <v>27</v>
      </c>
      <c r="B38" s="12"/>
      <c r="E38" s="92">
        <v>0</v>
      </c>
      <c r="F38" s="93">
        <v>2</v>
      </c>
      <c r="G38" s="145">
        <f t="shared" si="5"/>
        <v>2</v>
      </c>
      <c r="H38" s="3">
        <f t="shared" si="6"/>
        <v>0</v>
      </c>
      <c r="I38" s="70">
        <f t="shared" si="7"/>
        <v>2016</v>
      </c>
    </row>
    <row r="39" spans="1:11" x14ac:dyDescent="0.2">
      <c r="A39" s="32" t="s">
        <v>28</v>
      </c>
      <c r="B39" s="36">
        <f>+(B15*C34*B14)/(C34*B14+C35)</f>
        <v>110938954.73564467</v>
      </c>
      <c r="E39" s="92">
        <v>0</v>
      </c>
      <c r="F39" s="93">
        <v>0</v>
      </c>
      <c r="G39" s="145">
        <f t="shared" si="5"/>
        <v>0</v>
      </c>
      <c r="H39" s="3">
        <f t="shared" si="6"/>
        <v>0</v>
      </c>
      <c r="I39" s="70">
        <f t="shared" si="7"/>
        <v>0</v>
      </c>
    </row>
    <row r="40" spans="1:11" ht="13.5" thickBot="1" x14ac:dyDescent="0.25">
      <c r="A40" s="32" t="s">
        <v>30</v>
      </c>
      <c r="B40" s="37">
        <f>+(B15*C35)/(C34*B14+C35)</f>
        <v>126878849.59065357</v>
      </c>
      <c r="E40" s="92">
        <v>0</v>
      </c>
      <c r="F40" s="93">
        <v>0</v>
      </c>
      <c r="G40" s="145">
        <f t="shared" si="5"/>
        <v>0</v>
      </c>
      <c r="H40" s="3">
        <f t="shared" si="6"/>
        <v>0</v>
      </c>
      <c r="I40" s="70">
        <f t="shared" si="7"/>
        <v>0</v>
      </c>
    </row>
    <row r="41" spans="1:11" x14ac:dyDescent="0.2">
      <c r="A41" s="6"/>
      <c r="E41" s="92">
        <v>379</v>
      </c>
      <c r="F41" s="93">
        <v>742</v>
      </c>
      <c r="G41" s="145">
        <f t="shared" si="5"/>
        <v>1121</v>
      </c>
      <c r="H41" s="3">
        <f>+E41*B12*$B$13</f>
        <v>818640</v>
      </c>
      <c r="I41" s="70">
        <f t="shared" si="7"/>
        <v>1602720</v>
      </c>
    </row>
    <row r="42" spans="1:11" x14ac:dyDescent="0.2">
      <c r="A42" s="32" t="s">
        <v>31</v>
      </c>
      <c r="B42" s="12"/>
      <c r="E42" s="31">
        <f>SUM(E36:E41)</f>
        <v>379</v>
      </c>
      <c r="F42" s="31">
        <f>SUM(F36:F41)</f>
        <v>744</v>
      </c>
      <c r="G42" s="31">
        <f>SUM(G36:G41)</f>
        <v>1123</v>
      </c>
      <c r="H42" s="69">
        <f>SUM(H36:H41)</f>
        <v>818640</v>
      </c>
      <c r="I42" s="69">
        <f>SUM(I36:I41)</f>
        <v>1604736</v>
      </c>
      <c r="J42" s="99">
        <f>H42+I42</f>
        <v>2423376</v>
      </c>
    </row>
    <row r="43" spans="1:11" x14ac:dyDescent="0.2">
      <c r="A43" s="32" t="s">
        <v>32</v>
      </c>
      <c r="B43" s="36">
        <f>+(-B16/C36*C34)</f>
        <v>9213031.3573082667</v>
      </c>
      <c r="E43" s="68">
        <f>E36*6/45+E37*13/45+E38*21/45+E39*29/45+E40*37/45+E41*45/45</f>
        <v>379</v>
      </c>
      <c r="F43" s="68">
        <f>F36*6/45+F37*13/45+F38*21/45+F39*29/45+F40*37/45+F41*45/45</f>
        <v>742.93333333333328</v>
      </c>
      <c r="G43" s="68">
        <f>G36*6/45+G37*13/45+G38*21/45+G39*29/45+G40*37/45+G41*45/45</f>
        <v>1121.9333333333334</v>
      </c>
    </row>
    <row r="44" spans="1:11" ht="13.5" thickBot="1" x14ac:dyDescent="0.25">
      <c r="A44" s="32" t="s">
        <v>36</v>
      </c>
      <c r="B44" s="37">
        <f>+(-B16/C36*C35)</f>
        <v>18966195.244565066</v>
      </c>
      <c r="J44" s="99">
        <f>J31-J42</f>
        <v>64512</v>
      </c>
      <c r="K44" s="99">
        <f>J44/45/48</f>
        <v>29.866666666666664</v>
      </c>
    </row>
    <row r="45" spans="1:11" x14ac:dyDescent="0.2">
      <c r="F45" s="78" t="s">
        <v>94</v>
      </c>
    </row>
    <row r="46" spans="1:11" x14ac:dyDescent="0.2">
      <c r="A46" s="32" t="s">
        <v>33</v>
      </c>
      <c r="B46" s="12"/>
      <c r="F46" s="2" t="s">
        <v>227</v>
      </c>
      <c r="G46" s="111">
        <v>2000</v>
      </c>
      <c r="H46" s="111">
        <v>2000</v>
      </c>
      <c r="I46" s="2" t="s">
        <v>387</v>
      </c>
    </row>
    <row r="47" spans="1:11" x14ac:dyDescent="0.2">
      <c r="A47" s="32" t="s">
        <v>34</v>
      </c>
      <c r="B47" s="36">
        <f>+B39-B43</f>
        <v>101725923.3783364</v>
      </c>
      <c r="F47" s="100">
        <f>6/45</f>
        <v>0.13333333333333333</v>
      </c>
      <c r="G47" s="79">
        <f>(E25*$G$46*6*F47)+(F25*$G$46*6*F47)</f>
        <v>0</v>
      </c>
      <c r="H47" s="79">
        <f t="shared" ref="H47:H51" si="8">(E36*$H$46*5*F47)+(F36*$H$46*5*F47)</f>
        <v>0</v>
      </c>
      <c r="I47" s="79"/>
    </row>
    <row r="48" spans="1:11" ht="13.5" thickBot="1" x14ac:dyDescent="0.25">
      <c r="A48" s="32" t="s">
        <v>35</v>
      </c>
      <c r="B48" s="37">
        <f>+B40-B44</f>
        <v>107912654.3460885</v>
      </c>
      <c r="F48" s="100">
        <f>13/45</f>
        <v>0.28888888888888886</v>
      </c>
      <c r="G48" s="79">
        <f t="shared" ref="G48:G51" si="9">(E26*$G$46*6*F48)+(F26*$G$46*6*F48)</f>
        <v>0</v>
      </c>
      <c r="H48" s="79">
        <f t="shared" si="8"/>
        <v>0</v>
      </c>
      <c r="I48" s="79"/>
    </row>
    <row r="49" spans="1:9" x14ac:dyDescent="0.2">
      <c r="F49" s="100">
        <f>21/45</f>
        <v>0.46666666666666667</v>
      </c>
      <c r="G49" s="79">
        <f t="shared" si="9"/>
        <v>33600</v>
      </c>
      <c r="H49" s="79">
        <f t="shared" si="8"/>
        <v>9333.3333333333339</v>
      </c>
      <c r="I49" s="79"/>
    </row>
    <row r="50" spans="1:9" x14ac:dyDescent="0.2">
      <c r="A50" s="32" t="s">
        <v>93</v>
      </c>
      <c r="B50" s="12" t="s">
        <v>40</v>
      </c>
      <c r="C50" s="12" t="s">
        <v>41</v>
      </c>
      <c r="F50" s="100">
        <f>29/45</f>
        <v>0.64444444444444449</v>
      </c>
      <c r="G50" s="79">
        <f t="shared" si="9"/>
        <v>0</v>
      </c>
      <c r="H50" s="79">
        <f t="shared" si="8"/>
        <v>0</v>
      </c>
      <c r="I50" s="79"/>
    </row>
    <row r="51" spans="1:9" x14ac:dyDescent="0.2">
      <c r="A51" s="32" t="s">
        <v>38</v>
      </c>
      <c r="B51" s="38">
        <f>+(B47/C34)</f>
        <v>273085.65432432853</v>
      </c>
      <c r="C51" s="36">
        <f>B51/48/45</f>
        <v>126.42854366867063</v>
      </c>
      <c r="F51" s="100">
        <f>37/45</f>
        <v>0.82222222222222219</v>
      </c>
      <c r="G51" s="79">
        <f t="shared" si="9"/>
        <v>0</v>
      </c>
      <c r="H51" s="79">
        <f t="shared" si="8"/>
        <v>0</v>
      </c>
      <c r="I51" s="79"/>
    </row>
    <row r="52" spans="1:9" x14ac:dyDescent="0.2">
      <c r="A52" s="32" t="s">
        <v>39</v>
      </c>
      <c r="B52" s="38">
        <f>+(B48/C35)</f>
        <v>140721.98519409075</v>
      </c>
      <c r="C52" s="36">
        <f>B52/48/45</f>
        <v>65.149067219486454</v>
      </c>
      <c r="F52" s="100">
        <f>45/45</f>
        <v>1</v>
      </c>
      <c r="G52" s="79">
        <f>(E30*$G$46*6*F52)+(F30*$G$46*6*F52)</f>
        <v>13788000</v>
      </c>
      <c r="H52" s="79">
        <f>(E41*$H$46*5*F52)+(F41*$H$46*5*F52)</f>
        <v>11210000</v>
      </c>
      <c r="I52" s="79"/>
    </row>
    <row r="53" spans="1:9" x14ac:dyDescent="0.2">
      <c r="G53" s="80">
        <f>SUM(G47:G52)</f>
        <v>13821600</v>
      </c>
      <c r="H53" s="80">
        <f>SUM(H47:H52)</f>
        <v>11219333.333333334</v>
      </c>
      <c r="I53" s="71">
        <f>SUM(G53:H53)</f>
        <v>25040933.333333336</v>
      </c>
    </row>
    <row r="54" spans="1:9" x14ac:dyDescent="0.2">
      <c r="A54" s="32" t="s">
        <v>146</v>
      </c>
      <c r="B54" s="12" t="s">
        <v>40</v>
      </c>
      <c r="C54" s="12" t="s">
        <v>41</v>
      </c>
      <c r="I54" s="1"/>
    </row>
    <row r="55" spans="1:9" x14ac:dyDescent="0.2">
      <c r="A55" s="32" t="s">
        <v>92</v>
      </c>
      <c r="B55" s="36">
        <f>(B39*$B$17)/C34</f>
        <v>12806.184988350506</v>
      </c>
      <c r="C55" s="36">
        <f>B55/48/45</f>
        <v>5.9287893464585677</v>
      </c>
      <c r="F55" s="78" t="s">
        <v>226</v>
      </c>
    </row>
    <row r="56" spans="1:9" x14ac:dyDescent="0.2">
      <c r="A56" s="32" t="s">
        <v>91</v>
      </c>
      <c r="B56" s="36">
        <f>(B40*$B$17)/C35</f>
        <v>7114.5472157502809</v>
      </c>
      <c r="C56" s="36">
        <f>B56/48/45</f>
        <v>3.2937718591436482</v>
      </c>
      <c r="F56" t="s">
        <v>147</v>
      </c>
      <c r="G56" s="52" t="s">
        <v>95</v>
      </c>
      <c r="I56" s="99"/>
    </row>
    <row r="57" spans="1:9" x14ac:dyDescent="0.2">
      <c r="F57" t="s">
        <v>156</v>
      </c>
      <c r="G57" s="104">
        <v>-86961</v>
      </c>
    </row>
    <row r="58" spans="1:9" x14ac:dyDescent="0.2">
      <c r="A58" s="32" t="s">
        <v>43</v>
      </c>
      <c r="B58" s="12" t="s">
        <v>40</v>
      </c>
      <c r="C58" s="12" t="s">
        <v>41</v>
      </c>
      <c r="F58" t="s">
        <v>70</v>
      </c>
      <c r="G58" s="104">
        <v>-65490</v>
      </c>
      <c r="H58" s="2"/>
    </row>
    <row r="59" spans="1:9" x14ac:dyDescent="0.2">
      <c r="A59" s="32" t="s">
        <v>56</v>
      </c>
      <c r="B59" s="36">
        <f>B18</f>
        <v>0</v>
      </c>
      <c r="C59" s="36">
        <f>B59/48/45</f>
        <v>0</v>
      </c>
      <c r="F59" t="s">
        <v>157</v>
      </c>
      <c r="G59" s="104">
        <v>-95040</v>
      </c>
    </row>
    <row r="60" spans="1:9" x14ac:dyDescent="0.2">
      <c r="A60" s="32" t="s">
        <v>57</v>
      </c>
      <c r="B60" s="36">
        <f>B19</f>
        <v>0</v>
      </c>
      <c r="C60" s="36">
        <f>C59</f>
        <v>0</v>
      </c>
      <c r="F60" t="s">
        <v>158</v>
      </c>
      <c r="G60" s="104">
        <v>-84621</v>
      </c>
    </row>
    <row r="61" spans="1:9" x14ac:dyDescent="0.2">
      <c r="F61" t="s">
        <v>159</v>
      </c>
      <c r="G61" s="104">
        <v>-147028</v>
      </c>
    </row>
    <row r="62" spans="1:9" x14ac:dyDescent="0.2">
      <c r="A62" s="32" t="s">
        <v>219</v>
      </c>
      <c r="B62" s="12" t="s">
        <v>44</v>
      </c>
      <c r="C62" s="12" t="s">
        <v>271</v>
      </c>
      <c r="D62" s="12" t="s">
        <v>45</v>
      </c>
      <c r="F62" t="s">
        <v>160</v>
      </c>
      <c r="G62" s="104">
        <v>-267750</v>
      </c>
    </row>
    <row r="63" spans="1:9" x14ac:dyDescent="0.2">
      <c r="A63" s="32" t="s">
        <v>38</v>
      </c>
      <c r="B63" s="38">
        <f>+B51+B55+B59</f>
        <v>285891.83931267902</v>
      </c>
      <c r="C63" s="38">
        <v>308200</v>
      </c>
      <c r="D63" s="39">
        <f>1-(B63/C63)</f>
        <v>7.2382091782352331E-2</v>
      </c>
      <c r="F63" t="s">
        <v>64</v>
      </c>
      <c r="G63" s="104">
        <v>-81516</v>
      </c>
    </row>
    <row r="64" spans="1:9" x14ac:dyDescent="0.2">
      <c r="A64" s="32" t="s">
        <v>39</v>
      </c>
      <c r="B64" s="38">
        <f>+B52+B56+B60</f>
        <v>147836.53240984102</v>
      </c>
      <c r="C64" s="38">
        <v>159500</v>
      </c>
      <c r="D64" s="39">
        <f>1-(B64/C64)</f>
        <v>7.3125188653034412E-2</v>
      </c>
      <c r="F64" t="s">
        <v>161</v>
      </c>
      <c r="G64" s="104">
        <v>-89925</v>
      </c>
    </row>
    <row r="65" spans="2:7" x14ac:dyDescent="0.2">
      <c r="F65" t="s">
        <v>69</v>
      </c>
      <c r="G65" s="104">
        <v>-44750</v>
      </c>
    </row>
    <row r="66" spans="2:7" x14ac:dyDescent="0.2">
      <c r="F66" t="s">
        <v>162</v>
      </c>
      <c r="G66" s="104">
        <v>-277327</v>
      </c>
    </row>
    <row r="67" spans="2:7" x14ac:dyDescent="0.2">
      <c r="B67" s="71"/>
      <c r="F67" t="s">
        <v>66</v>
      </c>
      <c r="G67" s="104">
        <v>-272600</v>
      </c>
    </row>
    <row r="68" spans="2:7" x14ac:dyDescent="0.2">
      <c r="B68" s="71"/>
      <c r="F68" t="s">
        <v>71</v>
      </c>
      <c r="G68" s="104">
        <v>-162636</v>
      </c>
    </row>
    <row r="69" spans="2:7" x14ac:dyDescent="0.2">
      <c r="F69" t="s">
        <v>163</v>
      </c>
      <c r="G69" s="104">
        <v>-149082</v>
      </c>
    </row>
    <row r="70" spans="2:7" x14ac:dyDescent="0.2">
      <c r="F70" t="s">
        <v>61</v>
      </c>
      <c r="G70" s="104">
        <v>-98280</v>
      </c>
    </row>
    <row r="71" spans="2:7" x14ac:dyDescent="0.2">
      <c r="F71" t="s">
        <v>62</v>
      </c>
      <c r="G71" s="104">
        <v>-68800</v>
      </c>
    </row>
    <row r="72" spans="2:7" x14ac:dyDescent="0.2">
      <c r="F72" t="s">
        <v>63</v>
      </c>
      <c r="G72" s="104">
        <v>-120250</v>
      </c>
    </row>
    <row r="73" spans="2:7" x14ac:dyDescent="0.2">
      <c r="F73" t="s">
        <v>164</v>
      </c>
      <c r="G73" s="104">
        <v>-44058</v>
      </c>
    </row>
    <row r="74" spans="2:7" x14ac:dyDescent="0.2">
      <c r="F74" t="s">
        <v>65</v>
      </c>
      <c r="G74" s="104">
        <v>-256020</v>
      </c>
    </row>
    <row r="75" spans="2:7" x14ac:dyDescent="0.2">
      <c r="F75" t="s">
        <v>165</v>
      </c>
      <c r="G75" s="104">
        <v>-120709</v>
      </c>
    </row>
    <row r="76" spans="2:7" x14ac:dyDescent="0.2">
      <c r="F76" t="s">
        <v>67</v>
      </c>
      <c r="G76" s="104">
        <v>-115495</v>
      </c>
    </row>
    <row r="77" spans="2:7" x14ac:dyDescent="0.2">
      <c r="F77" t="s">
        <v>166</v>
      </c>
      <c r="G77" s="104">
        <v>-77520</v>
      </c>
    </row>
    <row r="78" spans="2:7" x14ac:dyDescent="0.2">
      <c r="F78" t="s">
        <v>68</v>
      </c>
      <c r="G78" s="104">
        <v>-138182</v>
      </c>
    </row>
    <row r="79" spans="2:7" x14ac:dyDescent="0.2">
      <c r="F79" t="s">
        <v>385</v>
      </c>
      <c r="G79" s="104">
        <v>-23595</v>
      </c>
    </row>
    <row r="80" spans="2:7" x14ac:dyDescent="0.2">
      <c r="G80" s="79">
        <f>SUM(G57:G79)</f>
        <v>-2887635</v>
      </c>
    </row>
  </sheetData>
  <sheetProtection algorithmName="SHA-512" hashValue="a+UJz8ZMVYj3GEug6+gdLC5iCvmbUXb8OSnbk1jhufi0WO/XIHKYy/q558nia2x2CkqyvzteQ/njkjBpmRY95w==" saltValue="rW3kUGW+cf3n4Jsio7mIpg==" spinCount="100000" sheet="1" objects="1" scenarios="1"/>
  <mergeCells count="5">
    <mergeCell ref="E34:G34"/>
    <mergeCell ref="H34:I34"/>
    <mergeCell ref="H23:I23"/>
    <mergeCell ref="E23:G23"/>
    <mergeCell ref="B23:C2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48B2-95D8-4B04-827D-DDAEB3A207C4}">
  <sheetPr codeName="Ark3" filterMode="1">
    <tabColor theme="8" tint="0.79998168889431442"/>
  </sheetPr>
  <dimension ref="A1:U1995"/>
  <sheetViews>
    <sheetView zoomScale="80" zoomScaleNormal="80" workbookViewId="0"/>
  </sheetViews>
  <sheetFormatPr baseColWidth="10" defaultRowHeight="12.75" x14ac:dyDescent="0.2"/>
  <cols>
    <col min="1" max="1" width="4" bestFit="1" customWidth="1"/>
    <col min="3" max="3" width="36.140625" customWidth="1"/>
    <col min="4" max="4" width="10" customWidth="1"/>
    <col min="8" max="8" width="31.85546875" customWidth="1"/>
    <col min="10" max="10" width="15" bestFit="1" customWidth="1"/>
    <col min="13" max="13" width="16" bestFit="1" customWidth="1"/>
    <col min="14" max="15" width="16" hidden="1" customWidth="1"/>
    <col min="16" max="16" width="16.7109375" bestFit="1" customWidth="1"/>
    <col min="17" max="17" width="15.85546875" customWidth="1"/>
    <col min="18" max="18" width="16.85546875" style="66" bestFit="1" customWidth="1"/>
    <col min="19" max="19" width="16" style="66" bestFit="1" customWidth="1"/>
    <col min="20" max="20" width="16.42578125" customWidth="1"/>
    <col min="24" max="24" width="16" bestFit="1" customWidth="1"/>
  </cols>
  <sheetData>
    <row r="1" spans="1:21" x14ac:dyDescent="0.2">
      <c r="J1" s="71"/>
      <c r="P1" t="s">
        <v>228</v>
      </c>
      <c r="Q1" s="167">
        <f>172200398.35-190420.97</f>
        <v>172009977.38</v>
      </c>
      <c r="R1" s="108">
        <f>M6-Q1</f>
        <v>74727668.099999756</v>
      </c>
      <c r="S1" s="109"/>
      <c r="T1" s="119"/>
    </row>
    <row r="2" spans="1:21" x14ac:dyDescent="0.2">
      <c r="J2" s="71"/>
      <c r="P2" s="5" t="s">
        <v>269</v>
      </c>
      <c r="Q2" s="108">
        <f>Q1*10%</f>
        <v>17200997.738000002</v>
      </c>
      <c r="R2" s="108"/>
      <c r="S2"/>
    </row>
    <row r="3" spans="1:21" x14ac:dyDescent="0.2">
      <c r="J3" s="71"/>
      <c r="P3" t="s">
        <v>270</v>
      </c>
      <c r="Q3" s="108">
        <f>Q2*14.1%</f>
        <v>2425340.6810579998</v>
      </c>
      <c r="R3" s="108"/>
      <c r="S3" s="119"/>
    </row>
    <row r="4" spans="1:21" x14ac:dyDescent="0.2">
      <c r="P4" t="s">
        <v>229</v>
      </c>
      <c r="Q4" s="108">
        <f>Q2+Q3</f>
        <v>19626338.419058003</v>
      </c>
      <c r="R4" s="108">
        <f>S6-Q4</f>
        <v>0</v>
      </c>
      <c r="S4" s="114"/>
      <c r="U4" s="66"/>
    </row>
    <row r="6" spans="1:21" x14ac:dyDescent="0.2">
      <c r="M6" s="66">
        <f>SUBTOTAL(9,M8:M1123)</f>
        <v>246737645.47999975</v>
      </c>
      <c r="N6" s="66"/>
      <c r="O6" s="66"/>
      <c r="P6" s="66">
        <f>SUBTOTAL(9,P8:P1123)</f>
        <v>192750000</v>
      </c>
      <c r="Q6" s="66">
        <f t="shared" ref="Q6:R6" si="0">SUBTOTAL(9,Q8:Q1123)</f>
        <v>53987645.480000153</v>
      </c>
      <c r="R6" s="66">
        <f t="shared" si="0"/>
        <v>-51590403.507369958</v>
      </c>
      <c r="S6" s="66">
        <f>SUBTOTAL(9,S8:S1123)</f>
        <v>19626338.419058003</v>
      </c>
      <c r="T6" s="119">
        <f>R6+S6</f>
        <v>-31964065.088311955</v>
      </c>
    </row>
    <row r="7" spans="1:21" ht="15" x14ac:dyDescent="0.25">
      <c r="A7" t="s">
        <v>203</v>
      </c>
      <c r="B7" s="101" t="s">
        <v>204</v>
      </c>
      <c r="C7" s="102" t="s">
        <v>235</v>
      </c>
      <c r="D7" s="102" t="s">
        <v>236</v>
      </c>
      <c r="E7" s="101" t="s">
        <v>205</v>
      </c>
      <c r="F7" s="102" t="s">
        <v>141</v>
      </c>
      <c r="G7" s="101" t="s">
        <v>206</v>
      </c>
      <c r="H7" s="102" t="s">
        <v>237</v>
      </c>
      <c r="I7" s="101" t="s">
        <v>207</v>
      </c>
      <c r="J7" s="101" t="s">
        <v>208</v>
      </c>
      <c r="K7" s="101" t="s">
        <v>209</v>
      </c>
      <c r="L7" s="101" t="s">
        <v>238</v>
      </c>
      <c r="M7" s="101" t="s">
        <v>210</v>
      </c>
      <c r="N7" s="101"/>
      <c r="O7" s="101"/>
      <c r="P7" s="101" t="s">
        <v>211</v>
      </c>
      <c r="Q7" s="97" t="s">
        <v>45</v>
      </c>
      <c r="R7" s="105" t="s">
        <v>116</v>
      </c>
      <c r="S7" s="130">
        <v>0.1</v>
      </c>
    </row>
    <row r="8" spans="1:21" ht="15" x14ac:dyDescent="0.25">
      <c r="A8" s="141" t="s">
        <v>148</v>
      </c>
      <c r="B8" s="141" t="s">
        <v>277</v>
      </c>
      <c r="C8" s="141" t="s">
        <v>253</v>
      </c>
      <c r="D8" s="142" t="s">
        <v>252</v>
      </c>
      <c r="E8" s="158" t="s">
        <v>352</v>
      </c>
      <c r="F8" s="142" t="s">
        <v>142</v>
      </c>
      <c r="G8" s="141">
        <v>105098</v>
      </c>
      <c r="H8" s="141" t="s">
        <v>265</v>
      </c>
      <c r="I8" s="141" t="s">
        <v>247</v>
      </c>
      <c r="J8" s="159" t="s">
        <v>278</v>
      </c>
      <c r="K8" s="160">
        <v>0</v>
      </c>
      <c r="L8" s="141"/>
      <c r="M8" s="161">
        <v>-311518.49</v>
      </c>
      <c r="N8" s="161">
        <v>0</v>
      </c>
      <c r="O8" s="161">
        <v>0</v>
      </c>
      <c r="P8" s="161">
        <v>0</v>
      </c>
      <c r="Q8" s="104">
        <f>M8-P8</f>
        <v>-311518.49</v>
      </c>
      <c r="R8" s="104"/>
      <c r="S8" s="66">
        <f>M8*$S$7*1.141</f>
        <v>-35544.259709000005</v>
      </c>
    </row>
    <row r="9" spans="1:21" ht="15" x14ac:dyDescent="0.25">
      <c r="A9" s="141" t="s">
        <v>148</v>
      </c>
      <c r="B9" s="141" t="s">
        <v>277</v>
      </c>
      <c r="C9" s="141" t="s">
        <v>253</v>
      </c>
      <c r="D9" s="142" t="s">
        <v>252</v>
      </c>
      <c r="E9" s="158" t="s">
        <v>352</v>
      </c>
      <c r="F9" s="142" t="s">
        <v>142</v>
      </c>
      <c r="G9" s="141">
        <v>105099</v>
      </c>
      <c r="H9" s="141" t="s">
        <v>103</v>
      </c>
      <c r="I9" s="141" t="s">
        <v>247</v>
      </c>
      <c r="J9" s="159" t="s">
        <v>279</v>
      </c>
      <c r="K9" s="160">
        <v>0</v>
      </c>
      <c r="L9" s="141"/>
      <c r="M9" s="161">
        <v>311518.49</v>
      </c>
      <c r="N9" s="161">
        <v>0</v>
      </c>
      <c r="O9" s="161">
        <v>0</v>
      </c>
      <c r="P9" s="161">
        <v>0</v>
      </c>
      <c r="Q9" s="104">
        <f t="shared" ref="Q9:Q71" si="1">M9-P9</f>
        <v>311518.49</v>
      </c>
      <c r="R9" s="104"/>
      <c r="S9" s="66">
        <f t="shared" ref="S9:S72" si="2">M9*$S$7*1.141</f>
        <v>35544.259709000005</v>
      </c>
    </row>
    <row r="10" spans="1:21" ht="15" x14ac:dyDescent="0.25">
      <c r="A10" s="141" t="s">
        <v>148</v>
      </c>
      <c r="B10" s="141" t="s">
        <v>277</v>
      </c>
      <c r="C10" s="141" t="s">
        <v>253</v>
      </c>
      <c r="D10" s="142" t="s">
        <v>252</v>
      </c>
      <c r="E10" s="158" t="s">
        <v>352</v>
      </c>
      <c r="F10" s="142" t="s">
        <v>142</v>
      </c>
      <c r="G10" s="144">
        <v>109010</v>
      </c>
      <c r="H10" s="141" t="s">
        <v>280</v>
      </c>
      <c r="I10" s="141" t="s">
        <v>247</v>
      </c>
      <c r="J10" s="159" t="s">
        <v>248</v>
      </c>
      <c r="K10" s="160">
        <v>0</v>
      </c>
      <c r="L10" s="141"/>
      <c r="M10" s="161">
        <v>284458.68</v>
      </c>
      <c r="N10" s="161">
        <v>0</v>
      </c>
      <c r="O10" s="161">
        <v>0</v>
      </c>
      <c r="P10" s="161">
        <v>0</v>
      </c>
      <c r="Q10" s="104">
        <f t="shared" si="1"/>
        <v>284458.68</v>
      </c>
      <c r="R10" s="104"/>
      <c r="S10" s="129"/>
    </row>
    <row r="11" spans="1:21" ht="15" x14ac:dyDescent="0.25">
      <c r="A11" s="141" t="s">
        <v>148</v>
      </c>
      <c r="B11" s="141" t="s">
        <v>277</v>
      </c>
      <c r="C11" s="141" t="s">
        <v>253</v>
      </c>
      <c r="D11" s="142" t="s">
        <v>252</v>
      </c>
      <c r="E11" s="158" t="s">
        <v>352</v>
      </c>
      <c r="F11" s="142" t="s">
        <v>142</v>
      </c>
      <c r="G11" s="144">
        <v>109901</v>
      </c>
      <c r="H11" s="141" t="s">
        <v>102</v>
      </c>
      <c r="I11" s="141" t="s">
        <v>247</v>
      </c>
      <c r="J11" s="159" t="s">
        <v>279</v>
      </c>
      <c r="K11" s="160">
        <v>0</v>
      </c>
      <c r="L11" s="141"/>
      <c r="M11" s="161">
        <v>43919.54</v>
      </c>
      <c r="N11" s="161">
        <v>0</v>
      </c>
      <c r="O11" s="161">
        <v>0</v>
      </c>
      <c r="P11" s="161">
        <v>0</v>
      </c>
      <c r="Q11" s="104">
        <f t="shared" si="1"/>
        <v>43919.54</v>
      </c>
      <c r="R11" s="129"/>
    </row>
    <row r="12" spans="1:21" ht="15" x14ac:dyDescent="0.25">
      <c r="A12" s="141" t="s">
        <v>148</v>
      </c>
      <c r="B12" s="141" t="s">
        <v>277</v>
      </c>
      <c r="C12" s="141" t="s">
        <v>253</v>
      </c>
      <c r="D12" s="142" t="s">
        <v>252</v>
      </c>
      <c r="E12" s="158" t="s">
        <v>352</v>
      </c>
      <c r="F12" s="142" t="s">
        <v>142</v>
      </c>
      <c r="G12" s="141">
        <v>105098</v>
      </c>
      <c r="H12" s="141" t="s">
        <v>265</v>
      </c>
      <c r="I12" s="141" t="s">
        <v>276</v>
      </c>
      <c r="J12" s="159" t="s">
        <v>278</v>
      </c>
      <c r="K12" s="160">
        <v>0</v>
      </c>
      <c r="L12" s="141"/>
      <c r="M12" s="161">
        <v>-792.6</v>
      </c>
      <c r="N12" s="161">
        <v>0</v>
      </c>
      <c r="O12" s="161">
        <v>0</v>
      </c>
      <c r="P12" s="161">
        <v>0</v>
      </c>
      <c r="Q12" s="104">
        <f t="shared" si="1"/>
        <v>-792.6</v>
      </c>
      <c r="R12" s="129"/>
      <c r="S12" s="66">
        <f t="shared" si="2"/>
        <v>-90.435660000000013</v>
      </c>
    </row>
    <row r="13" spans="1:21" ht="15" x14ac:dyDescent="0.25">
      <c r="A13" s="141" t="s">
        <v>148</v>
      </c>
      <c r="B13" s="141" t="s">
        <v>277</v>
      </c>
      <c r="C13" s="141" t="s">
        <v>253</v>
      </c>
      <c r="D13" s="142" t="s">
        <v>252</v>
      </c>
      <c r="E13" s="158" t="s">
        <v>352</v>
      </c>
      <c r="F13" s="142" t="s">
        <v>142</v>
      </c>
      <c r="G13" s="141">
        <v>105099</v>
      </c>
      <c r="H13" s="141" t="s">
        <v>103</v>
      </c>
      <c r="I13" s="141" t="s">
        <v>276</v>
      </c>
      <c r="J13" s="159" t="s">
        <v>279</v>
      </c>
      <c r="K13" s="160">
        <v>0</v>
      </c>
      <c r="L13" s="141"/>
      <c r="M13" s="161">
        <v>792.6</v>
      </c>
      <c r="N13" s="161">
        <v>0</v>
      </c>
      <c r="O13" s="161">
        <v>0</v>
      </c>
      <c r="P13" s="161">
        <v>0</v>
      </c>
      <c r="Q13" s="104">
        <f t="shared" si="1"/>
        <v>792.6</v>
      </c>
      <c r="R13" s="129"/>
      <c r="S13" s="66">
        <f t="shared" si="2"/>
        <v>90.435660000000013</v>
      </c>
    </row>
    <row r="14" spans="1:21" ht="15" x14ac:dyDescent="0.25">
      <c r="A14" s="141" t="s">
        <v>148</v>
      </c>
      <c r="B14" s="141" t="s">
        <v>277</v>
      </c>
      <c r="C14" s="141" t="s">
        <v>253</v>
      </c>
      <c r="D14" s="142" t="s">
        <v>252</v>
      </c>
      <c r="E14" s="158" t="s">
        <v>352</v>
      </c>
      <c r="F14" s="142" t="s">
        <v>142</v>
      </c>
      <c r="G14" s="144">
        <v>109010</v>
      </c>
      <c r="H14" s="141" t="s">
        <v>280</v>
      </c>
      <c r="I14" s="141" t="s">
        <v>276</v>
      </c>
      <c r="J14" s="159" t="s">
        <v>248</v>
      </c>
      <c r="K14" s="160">
        <v>0</v>
      </c>
      <c r="L14" s="141"/>
      <c r="M14" s="161">
        <v>723.75</v>
      </c>
      <c r="N14" s="161">
        <v>0</v>
      </c>
      <c r="O14" s="161">
        <v>0</v>
      </c>
      <c r="P14" s="161">
        <v>0</v>
      </c>
      <c r="Q14" s="104">
        <f t="shared" si="1"/>
        <v>723.75</v>
      </c>
      <c r="R14" s="104"/>
      <c r="S14" s="129"/>
    </row>
    <row r="15" spans="1:21" ht="15" x14ac:dyDescent="0.25">
      <c r="A15" s="141" t="s">
        <v>148</v>
      </c>
      <c r="B15" s="141" t="s">
        <v>277</v>
      </c>
      <c r="C15" s="141" t="s">
        <v>253</v>
      </c>
      <c r="D15" s="142" t="s">
        <v>252</v>
      </c>
      <c r="E15" s="158" t="s">
        <v>352</v>
      </c>
      <c r="F15" s="142" t="s">
        <v>142</v>
      </c>
      <c r="G15" s="144">
        <v>109901</v>
      </c>
      <c r="H15" s="141" t="s">
        <v>102</v>
      </c>
      <c r="I15" s="141" t="s">
        <v>276</v>
      </c>
      <c r="J15" s="159" t="s">
        <v>279</v>
      </c>
      <c r="K15" s="160">
        <v>0</v>
      </c>
      <c r="L15" s="141"/>
      <c r="M15" s="161">
        <v>111.72</v>
      </c>
      <c r="N15" s="161">
        <v>0</v>
      </c>
      <c r="O15" s="161">
        <v>0</v>
      </c>
      <c r="P15" s="161">
        <v>0</v>
      </c>
      <c r="Q15" s="104">
        <f t="shared" si="1"/>
        <v>111.72</v>
      </c>
      <c r="R15" s="104"/>
    </row>
    <row r="16" spans="1:21" ht="15" hidden="1" x14ac:dyDescent="0.25">
      <c r="A16" s="141" t="s">
        <v>148</v>
      </c>
      <c r="B16" s="166" t="s">
        <v>281</v>
      </c>
      <c r="C16" s="141" t="s">
        <v>267</v>
      </c>
      <c r="D16" s="142" t="s">
        <v>252</v>
      </c>
      <c r="E16" s="158" t="s">
        <v>352</v>
      </c>
      <c r="F16" s="142" t="s">
        <v>142</v>
      </c>
      <c r="G16" s="141">
        <v>101039</v>
      </c>
      <c r="H16" s="141" t="s">
        <v>107</v>
      </c>
      <c r="I16" s="141" t="s">
        <v>247</v>
      </c>
      <c r="J16" s="159" t="s">
        <v>248</v>
      </c>
      <c r="K16" s="160">
        <v>0</v>
      </c>
      <c r="L16" s="141"/>
      <c r="M16" s="161">
        <v>229107.49</v>
      </c>
      <c r="N16" s="161">
        <v>0</v>
      </c>
      <c r="O16" s="161">
        <v>0</v>
      </c>
      <c r="P16" s="161">
        <v>0</v>
      </c>
      <c r="Q16" s="104">
        <f t="shared" si="1"/>
        <v>229107.49</v>
      </c>
      <c r="R16" s="129"/>
      <c r="S16" s="66">
        <f t="shared" si="2"/>
        <v>26141.164608999999</v>
      </c>
    </row>
    <row r="17" spans="1:20" ht="15" hidden="1" x14ac:dyDescent="0.25">
      <c r="A17" s="141" t="s">
        <v>148</v>
      </c>
      <c r="B17" s="166" t="s">
        <v>281</v>
      </c>
      <c r="C17" s="141" t="s">
        <v>267</v>
      </c>
      <c r="D17" s="142" t="s">
        <v>252</v>
      </c>
      <c r="E17" s="158" t="s">
        <v>352</v>
      </c>
      <c r="F17" s="142" t="s">
        <v>142</v>
      </c>
      <c r="G17" s="144">
        <v>109901</v>
      </c>
      <c r="H17" s="141" t="s">
        <v>102</v>
      </c>
      <c r="I17" s="141" t="s">
        <v>247</v>
      </c>
      <c r="J17" s="159" t="s">
        <v>248</v>
      </c>
      <c r="K17" s="160">
        <v>0</v>
      </c>
      <c r="L17" s="141"/>
      <c r="M17" s="161">
        <v>32304.16</v>
      </c>
      <c r="N17" s="161">
        <v>0</v>
      </c>
      <c r="O17" s="161">
        <v>0</v>
      </c>
      <c r="P17" s="161">
        <v>0</v>
      </c>
      <c r="Q17" s="104">
        <f t="shared" si="1"/>
        <v>32304.16</v>
      </c>
      <c r="R17" s="104"/>
    </row>
    <row r="18" spans="1:20" ht="15" x14ac:dyDescent="0.25">
      <c r="A18" s="141" t="s">
        <v>148</v>
      </c>
      <c r="B18" s="141" t="s">
        <v>282</v>
      </c>
      <c r="C18" s="141" t="s">
        <v>212</v>
      </c>
      <c r="D18" s="142" t="s">
        <v>239</v>
      </c>
      <c r="E18" s="158" t="s">
        <v>353</v>
      </c>
      <c r="F18" s="142" t="s">
        <v>142</v>
      </c>
      <c r="G18" s="141">
        <v>102055</v>
      </c>
      <c r="H18" s="141" t="s">
        <v>283</v>
      </c>
      <c r="I18" s="141" t="s">
        <v>247</v>
      </c>
      <c r="J18" s="159" t="s">
        <v>248</v>
      </c>
      <c r="K18" s="160">
        <v>0</v>
      </c>
      <c r="L18" s="141"/>
      <c r="M18" s="161">
        <v>34120</v>
      </c>
      <c r="N18" s="161">
        <v>0</v>
      </c>
      <c r="O18" s="161">
        <v>0</v>
      </c>
      <c r="P18" s="161">
        <v>0</v>
      </c>
      <c r="Q18" s="104">
        <f t="shared" si="1"/>
        <v>34120</v>
      </c>
      <c r="R18" s="104"/>
      <c r="S18" s="66">
        <f>M18*$S$7*1.141</f>
        <v>3893.0920000000001</v>
      </c>
    </row>
    <row r="19" spans="1:20" ht="15" x14ac:dyDescent="0.25">
      <c r="A19" s="141" t="s">
        <v>148</v>
      </c>
      <c r="B19" s="141" t="s">
        <v>282</v>
      </c>
      <c r="C19" s="141" t="s">
        <v>212</v>
      </c>
      <c r="D19" s="142" t="s">
        <v>239</v>
      </c>
      <c r="E19" s="158" t="s">
        <v>353</v>
      </c>
      <c r="F19" s="142" t="s">
        <v>142</v>
      </c>
      <c r="G19" s="144">
        <v>109055</v>
      </c>
      <c r="H19" s="141" t="s">
        <v>284</v>
      </c>
      <c r="I19" s="141" t="s">
        <v>247</v>
      </c>
      <c r="J19" s="159" t="s">
        <v>248</v>
      </c>
      <c r="K19" s="160">
        <v>0</v>
      </c>
      <c r="L19" s="141"/>
      <c r="M19" s="161">
        <v>-637</v>
      </c>
      <c r="N19" s="161">
        <v>0</v>
      </c>
      <c r="O19" s="161">
        <v>0</v>
      </c>
      <c r="P19" s="161">
        <v>0</v>
      </c>
      <c r="Q19" s="104">
        <f t="shared" si="1"/>
        <v>-637</v>
      </c>
      <c r="R19" s="129"/>
    </row>
    <row r="20" spans="1:20" ht="15" x14ac:dyDescent="0.25">
      <c r="A20" s="141" t="s">
        <v>148</v>
      </c>
      <c r="B20" s="141" t="s">
        <v>282</v>
      </c>
      <c r="C20" s="141" t="s">
        <v>212</v>
      </c>
      <c r="D20" s="142" t="s">
        <v>239</v>
      </c>
      <c r="E20" s="158" t="s">
        <v>353</v>
      </c>
      <c r="F20" s="142" t="s">
        <v>142</v>
      </c>
      <c r="G20" s="144">
        <v>109955</v>
      </c>
      <c r="H20" s="141" t="s">
        <v>285</v>
      </c>
      <c r="I20" s="141" t="s">
        <v>247</v>
      </c>
      <c r="J20" s="159" t="s">
        <v>248</v>
      </c>
      <c r="K20" s="160">
        <v>0</v>
      </c>
      <c r="L20" s="141"/>
      <c r="M20" s="161">
        <v>4721</v>
      </c>
      <c r="N20" s="161">
        <v>0</v>
      </c>
      <c r="O20" s="161">
        <v>0</v>
      </c>
      <c r="P20" s="161">
        <v>0</v>
      </c>
      <c r="Q20" s="104">
        <f t="shared" si="1"/>
        <v>4721</v>
      </c>
      <c r="R20" s="104"/>
    </row>
    <row r="21" spans="1:20" ht="15" x14ac:dyDescent="0.25">
      <c r="A21" s="141" t="s">
        <v>148</v>
      </c>
      <c r="B21" s="141" t="s">
        <v>290</v>
      </c>
      <c r="C21" s="141" t="s">
        <v>144</v>
      </c>
      <c r="D21" s="142" t="s">
        <v>240</v>
      </c>
      <c r="E21" s="158" t="s">
        <v>354</v>
      </c>
      <c r="F21" s="142" t="s">
        <v>142</v>
      </c>
      <c r="G21" s="144">
        <v>109001</v>
      </c>
      <c r="H21" s="141" t="s">
        <v>101</v>
      </c>
      <c r="I21" s="141" t="s">
        <v>247</v>
      </c>
      <c r="J21" s="159" t="s">
        <v>248</v>
      </c>
      <c r="K21" s="160">
        <v>0</v>
      </c>
      <c r="L21" s="141"/>
      <c r="M21" s="161">
        <v>28305007.52</v>
      </c>
      <c r="N21" s="161">
        <v>0</v>
      </c>
      <c r="O21" s="161">
        <v>0</v>
      </c>
      <c r="P21" s="161">
        <v>0</v>
      </c>
      <c r="Q21" s="104">
        <f t="shared" si="1"/>
        <v>28305007.52</v>
      </c>
      <c r="R21" s="129">
        <f>M21*-1.141</f>
        <v>-32296013.580320001</v>
      </c>
      <c r="T21" s="119"/>
    </row>
    <row r="22" spans="1:20" ht="15" x14ac:dyDescent="0.25">
      <c r="A22" s="141" t="s">
        <v>148</v>
      </c>
      <c r="B22" s="141" t="s">
        <v>290</v>
      </c>
      <c r="C22" s="141" t="s">
        <v>144</v>
      </c>
      <c r="D22" s="142" t="s">
        <v>240</v>
      </c>
      <c r="E22" s="158" t="s">
        <v>354</v>
      </c>
      <c r="F22" s="142" t="s">
        <v>142</v>
      </c>
      <c r="G22" s="144">
        <v>109901</v>
      </c>
      <c r="H22" s="141" t="s">
        <v>102</v>
      </c>
      <c r="I22" s="141" t="s">
        <v>247</v>
      </c>
      <c r="J22" s="159" t="s">
        <v>248</v>
      </c>
      <c r="K22" s="160">
        <v>0</v>
      </c>
      <c r="L22" s="141"/>
      <c r="M22" s="161">
        <v>4070983.02</v>
      </c>
      <c r="N22" s="161">
        <v>0</v>
      </c>
      <c r="O22" s="161">
        <v>0</v>
      </c>
      <c r="P22" s="161">
        <v>0</v>
      </c>
      <c r="Q22" s="104">
        <f t="shared" si="1"/>
        <v>4070983.02</v>
      </c>
      <c r="R22" s="120"/>
      <c r="T22" s="119"/>
    </row>
    <row r="23" spans="1:20" ht="15" x14ac:dyDescent="0.25">
      <c r="A23" s="141" t="s">
        <v>148</v>
      </c>
      <c r="B23" s="141" t="s">
        <v>290</v>
      </c>
      <c r="C23" s="141" t="s">
        <v>144</v>
      </c>
      <c r="D23" s="142" t="s">
        <v>240</v>
      </c>
      <c r="E23" s="158" t="s">
        <v>354</v>
      </c>
      <c r="F23" s="142" t="s">
        <v>142</v>
      </c>
      <c r="G23" s="144">
        <v>109001</v>
      </c>
      <c r="H23" s="141" t="s">
        <v>101</v>
      </c>
      <c r="I23" s="141" t="s">
        <v>276</v>
      </c>
      <c r="J23" s="159" t="s">
        <v>248</v>
      </c>
      <c r="K23" s="160">
        <v>0</v>
      </c>
      <c r="L23" s="141"/>
      <c r="M23" s="161">
        <v>1091862.71</v>
      </c>
      <c r="N23" s="161">
        <v>0</v>
      </c>
      <c r="O23" s="161">
        <v>0</v>
      </c>
      <c r="P23" s="161">
        <v>0</v>
      </c>
      <c r="Q23" s="104">
        <f t="shared" si="1"/>
        <v>1091862.71</v>
      </c>
      <c r="R23" s="129">
        <f>M23*-1.141</f>
        <v>-1245815.3521099999</v>
      </c>
    </row>
    <row r="24" spans="1:20" ht="15" x14ac:dyDescent="0.25">
      <c r="A24" s="141" t="s">
        <v>148</v>
      </c>
      <c r="B24" s="141" t="s">
        <v>290</v>
      </c>
      <c r="C24" s="141" t="s">
        <v>144</v>
      </c>
      <c r="D24" s="142" t="s">
        <v>240</v>
      </c>
      <c r="E24" s="158" t="s">
        <v>354</v>
      </c>
      <c r="F24" s="142" t="s">
        <v>142</v>
      </c>
      <c r="G24" s="144">
        <v>109901</v>
      </c>
      <c r="H24" s="141" t="s">
        <v>102</v>
      </c>
      <c r="I24" s="141" t="s">
        <v>276</v>
      </c>
      <c r="J24" s="159" t="s">
        <v>248</v>
      </c>
      <c r="K24" s="160">
        <v>0</v>
      </c>
      <c r="L24" s="141"/>
      <c r="M24" s="161">
        <v>157037.74</v>
      </c>
      <c r="N24" s="161">
        <v>0</v>
      </c>
      <c r="O24" s="161">
        <v>0</v>
      </c>
      <c r="P24" s="161">
        <v>0</v>
      </c>
      <c r="Q24" s="104">
        <f t="shared" si="1"/>
        <v>157037.74</v>
      </c>
      <c r="R24" s="104"/>
    </row>
    <row r="25" spans="1:20" ht="15" x14ac:dyDescent="0.25">
      <c r="A25" s="141" t="s">
        <v>148</v>
      </c>
      <c r="B25" s="141" t="s">
        <v>291</v>
      </c>
      <c r="C25" s="141" t="s">
        <v>292</v>
      </c>
      <c r="D25" s="142" t="s">
        <v>293</v>
      </c>
      <c r="E25" s="158" t="s">
        <v>355</v>
      </c>
      <c r="F25" s="142" t="s">
        <v>142</v>
      </c>
      <c r="G25" s="141">
        <v>102055</v>
      </c>
      <c r="H25" s="141" t="s">
        <v>283</v>
      </c>
      <c r="I25" s="141" t="s">
        <v>247</v>
      </c>
      <c r="J25" s="159" t="s">
        <v>248</v>
      </c>
      <c r="K25" s="160">
        <v>0</v>
      </c>
      <c r="L25" s="141"/>
      <c r="M25" s="161">
        <v>-595000</v>
      </c>
      <c r="N25" s="161">
        <v>0</v>
      </c>
      <c r="O25" s="161">
        <v>-595000</v>
      </c>
      <c r="P25" s="161">
        <v>-595000</v>
      </c>
      <c r="Q25" s="104">
        <f t="shared" si="1"/>
        <v>0</v>
      </c>
      <c r="R25" s="129"/>
      <c r="S25" s="66">
        <f t="shared" si="2"/>
        <v>-67889.5</v>
      </c>
    </row>
    <row r="26" spans="1:20" ht="15" x14ac:dyDescent="0.25">
      <c r="A26" s="141" t="s">
        <v>148</v>
      </c>
      <c r="B26" s="141" t="s">
        <v>291</v>
      </c>
      <c r="C26" s="141" t="s">
        <v>292</v>
      </c>
      <c r="D26" s="142" t="s">
        <v>293</v>
      </c>
      <c r="E26" s="158" t="s">
        <v>355</v>
      </c>
      <c r="F26" s="142" t="s">
        <v>142</v>
      </c>
      <c r="G26" s="144">
        <v>109055</v>
      </c>
      <c r="H26" s="141" t="s">
        <v>284</v>
      </c>
      <c r="I26" s="141" t="s">
        <v>247</v>
      </c>
      <c r="J26" s="159" t="s">
        <v>248</v>
      </c>
      <c r="K26" s="160">
        <v>0</v>
      </c>
      <c r="L26" s="141"/>
      <c r="M26" s="161">
        <v>-60000</v>
      </c>
      <c r="N26" s="161">
        <v>0</v>
      </c>
      <c r="O26" s="161">
        <v>-60000</v>
      </c>
      <c r="P26" s="161">
        <v>-60000</v>
      </c>
      <c r="Q26" s="104">
        <f t="shared" si="1"/>
        <v>0</v>
      </c>
      <c r="R26" s="104"/>
    </row>
    <row r="27" spans="1:20" ht="15" x14ac:dyDescent="0.25">
      <c r="A27" s="141" t="s">
        <v>148</v>
      </c>
      <c r="B27" s="141" t="s">
        <v>291</v>
      </c>
      <c r="C27" s="141" t="s">
        <v>292</v>
      </c>
      <c r="D27" s="142" t="s">
        <v>293</v>
      </c>
      <c r="E27" s="158" t="s">
        <v>355</v>
      </c>
      <c r="F27" s="142" t="s">
        <v>142</v>
      </c>
      <c r="G27" s="144">
        <v>109955</v>
      </c>
      <c r="H27" s="141" t="s">
        <v>285</v>
      </c>
      <c r="I27" s="141" t="s">
        <v>247</v>
      </c>
      <c r="J27" s="159" t="s">
        <v>248</v>
      </c>
      <c r="K27" s="160">
        <v>0</v>
      </c>
      <c r="L27" s="141"/>
      <c r="M27" s="161">
        <v>-95000</v>
      </c>
      <c r="N27" s="161">
        <v>0</v>
      </c>
      <c r="O27" s="161">
        <v>-95000</v>
      </c>
      <c r="P27" s="161">
        <v>-95000</v>
      </c>
      <c r="Q27" s="104">
        <f t="shared" si="1"/>
        <v>0</v>
      </c>
      <c r="R27" s="129"/>
    </row>
    <row r="28" spans="1:20" ht="15" hidden="1" x14ac:dyDescent="0.25">
      <c r="A28" s="141" t="s">
        <v>148</v>
      </c>
      <c r="B28" s="166" t="s">
        <v>356</v>
      </c>
      <c r="C28" s="141" t="s">
        <v>357</v>
      </c>
      <c r="D28" s="142" t="s">
        <v>358</v>
      </c>
      <c r="E28" s="158" t="s">
        <v>359</v>
      </c>
      <c r="F28" s="142" t="s">
        <v>142</v>
      </c>
      <c r="G28" s="141">
        <v>105019</v>
      </c>
      <c r="H28" s="141" t="s">
        <v>111</v>
      </c>
      <c r="I28" s="141" t="s">
        <v>247</v>
      </c>
      <c r="J28" s="159" t="s">
        <v>248</v>
      </c>
      <c r="K28" s="160">
        <v>0</v>
      </c>
      <c r="L28" s="141"/>
      <c r="M28" s="162">
        <v>249.9</v>
      </c>
      <c r="N28" s="161">
        <v>0</v>
      </c>
      <c r="O28" s="161">
        <v>0</v>
      </c>
      <c r="P28" s="161">
        <v>0</v>
      </c>
      <c r="Q28" s="104">
        <f t="shared" si="1"/>
        <v>249.9</v>
      </c>
      <c r="R28" s="129"/>
      <c r="S28" s="66">
        <f t="shared" si="2"/>
        <v>28.513590000000004</v>
      </c>
    </row>
    <row r="29" spans="1:20" ht="15" hidden="1" x14ac:dyDescent="0.25">
      <c r="A29" s="141" t="s">
        <v>148</v>
      </c>
      <c r="B29" s="166" t="s">
        <v>356</v>
      </c>
      <c r="C29" s="141" t="s">
        <v>357</v>
      </c>
      <c r="D29" s="142" t="s">
        <v>358</v>
      </c>
      <c r="E29" s="158" t="s">
        <v>359</v>
      </c>
      <c r="F29" s="142" t="s">
        <v>142</v>
      </c>
      <c r="G29" s="144">
        <v>109901</v>
      </c>
      <c r="H29" s="141" t="s">
        <v>102</v>
      </c>
      <c r="I29" s="141" t="s">
        <v>247</v>
      </c>
      <c r="J29" s="159" t="s">
        <v>248</v>
      </c>
      <c r="K29" s="160">
        <v>0</v>
      </c>
      <c r="L29" s="141"/>
      <c r="M29" s="162">
        <v>35.24</v>
      </c>
      <c r="N29" s="161">
        <v>0</v>
      </c>
      <c r="O29" s="161">
        <v>0</v>
      </c>
      <c r="P29" s="161">
        <v>0</v>
      </c>
      <c r="Q29" s="104">
        <f t="shared" si="1"/>
        <v>35.24</v>
      </c>
      <c r="R29" s="104"/>
    </row>
    <row r="30" spans="1:20" ht="15" x14ac:dyDescent="0.25">
      <c r="A30" s="141" t="s">
        <v>148</v>
      </c>
      <c r="B30" s="141" t="s">
        <v>294</v>
      </c>
      <c r="C30" s="141" t="s">
        <v>213</v>
      </c>
      <c r="D30" s="142" t="s">
        <v>241</v>
      </c>
      <c r="E30" s="158" t="s">
        <v>360</v>
      </c>
      <c r="F30" s="142" t="s">
        <v>142</v>
      </c>
      <c r="G30" s="141">
        <v>101001</v>
      </c>
      <c r="H30" s="141" t="s">
        <v>104</v>
      </c>
      <c r="I30" s="141" t="s">
        <v>247</v>
      </c>
      <c r="J30" s="159" t="s">
        <v>248</v>
      </c>
      <c r="K30" s="160">
        <v>0</v>
      </c>
      <c r="L30" s="141"/>
      <c r="M30" s="161">
        <v>0</v>
      </c>
      <c r="N30" s="161">
        <v>20000</v>
      </c>
      <c r="O30" s="161">
        <v>-20000</v>
      </c>
      <c r="P30" s="161">
        <v>0</v>
      </c>
      <c r="Q30" s="104">
        <f t="shared" si="1"/>
        <v>0</v>
      </c>
      <c r="R30" s="129"/>
      <c r="S30" s="66">
        <f t="shared" si="2"/>
        <v>0</v>
      </c>
    </row>
    <row r="31" spans="1:20" ht="15" x14ac:dyDescent="0.25">
      <c r="A31" s="141" t="s">
        <v>148</v>
      </c>
      <c r="B31" s="141" t="s">
        <v>294</v>
      </c>
      <c r="C31" s="141" t="s">
        <v>213</v>
      </c>
      <c r="D31" s="142" t="s">
        <v>241</v>
      </c>
      <c r="E31" s="158" t="s">
        <v>360</v>
      </c>
      <c r="F31" s="142" t="s">
        <v>142</v>
      </c>
      <c r="G31" s="141">
        <v>101001</v>
      </c>
      <c r="H31" s="141" t="s">
        <v>104</v>
      </c>
      <c r="I31" s="141" t="s">
        <v>247</v>
      </c>
      <c r="J31" s="159" t="s">
        <v>295</v>
      </c>
      <c r="K31" s="160">
        <v>0</v>
      </c>
      <c r="L31" s="141"/>
      <c r="M31" s="161">
        <v>0</v>
      </c>
      <c r="N31" s="161">
        <v>880000</v>
      </c>
      <c r="O31" s="161">
        <v>-476000</v>
      </c>
      <c r="P31" s="161">
        <v>404000</v>
      </c>
      <c r="Q31" s="104">
        <f t="shared" si="1"/>
        <v>-404000</v>
      </c>
      <c r="R31" s="104"/>
      <c r="S31" s="66">
        <f t="shared" si="2"/>
        <v>0</v>
      </c>
    </row>
    <row r="32" spans="1:20" ht="15" x14ac:dyDescent="0.25">
      <c r="A32" s="141" t="s">
        <v>148</v>
      </c>
      <c r="B32" s="141" t="s">
        <v>294</v>
      </c>
      <c r="C32" s="141" t="s">
        <v>213</v>
      </c>
      <c r="D32" s="142" t="s">
        <v>241</v>
      </c>
      <c r="E32" s="158" t="s">
        <v>360</v>
      </c>
      <c r="F32" s="142" t="s">
        <v>142</v>
      </c>
      <c r="G32" s="141">
        <v>101001</v>
      </c>
      <c r="H32" s="141" t="s">
        <v>104</v>
      </c>
      <c r="I32" s="141" t="s">
        <v>247</v>
      </c>
      <c r="J32" s="159" t="s">
        <v>361</v>
      </c>
      <c r="K32" s="160">
        <v>0</v>
      </c>
      <c r="L32" s="141"/>
      <c r="M32" s="161">
        <v>0</v>
      </c>
      <c r="N32" s="161">
        <v>-40000</v>
      </c>
      <c r="O32" s="161">
        <v>40000</v>
      </c>
      <c r="P32" s="161">
        <v>0</v>
      </c>
      <c r="Q32" s="104">
        <f t="shared" si="1"/>
        <v>0</v>
      </c>
      <c r="R32" s="104"/>
      <c r="S32" s="66">
        <f t="shared" si="2"/>
        <v>0</v>
      </c>
    </row>
    <row r="33" spans="1:19" ht="15" x14ac:dyDescent="0.25">
      <c r="A33" s="141" t="s">
        <v>148</v>
      </c>
      <c r="B33" s="141" t="s">
        <v>294</v>
      </c>
      <c r="C33" s="141" t="s">
        <v>213</v>
      </c>
      <c r="D33" s="142" t="s">
        <v>241</v>
      </c>
      <c r="E33" s="158" t="s">
        <v>360</v>
      </c>
      <c r="F33" s="142" t="s">
        <v>142</v>
      </c>
      <c r="G33" s="141">
        <v>101032</v>
      </c>
      <c r="H33" s="141" t="s">
        <v>362</v>
      </c>
      <c r="I33" s="141" t="s">
        <v>247</v>
      </c>
      <c r="J33" s="159" t="s">
        <v>248</v>
      </c>
      <c r="K33" s="160">
        <v>0</v>
      </c>
      <c r="L33" s="141"/>
      <c r="M33" s="161">
        <v>0</v>
      </c>
      <c r="N33" s="161">
        <v>18000</v>
      </c>
      <c r="O33" s="161">
        <v>-18000</v>
      </c>
      <c r="P33" s="161">
        <v>0</v>
      </c>
      <c r="Q33" s="104">
        <f t="shared" si="1"/>
        <v>0</v>
      </c>
      <c r="R33" s="104"/>
      <c r="S33" s="66">
        <f t="shared" si="2"/>
        <v>0</v>
      </c>
    </row>
    <row r="34" spans="1:19" ht="15" x14ac:dyDescent="0.25">
      <c r="A34" s="141" t="s">
        <v>148</v>
      </c>
      <c r="B34" s="141" t="s">
        <v>294</v>
      </c>
      <c r="C34" s="141" t="s">
        <v>213</v>
      </c>
      <c r="D34" s="142" t="s">
        <v>241</v>
      </c>
      <c r="E34" s="158" t="s">
        <v>360</v>
      </c>
      <c r="F34" s="142" t="s">
        <v>142</v>
      </c>
      <c r="G34" s="141">
        <v>104000</v>
      </c>
      <c r="H34" s="141" t="s">
        <v>110</v>
      </c>
      <c r="I34" s="141" t="s">
        <v>247</v>
      </c>
      <c r="J34" s="159" t="s">
        <v>248</v>
      </c>
      <c r="K34" s="160">
        <v>0</v>
      </c>
      <c r="L34" s="141"/>
      <c r="M34" s="161">
        <v>0</v>
      </c>
      <c r="N34" s="161">
        <v>0</v>
      </c>
      <c r="O34" s="161">
        <v>0</v>
      </c>
      <c r="P34" s="161">
        <v>0</v>
      </c>
      <c r="Q34" s="104">
        <f t="shared" si="1"/>
        <v>0</v>
      </c>
      <c r="R34" s="129"/>
      <c r="S34" s="66">
        <f t="shared" si="2"/>
        <v>0</v>
      </c>
    </row>
    <row r="35" spans="1:19" ht="15" x14ac:dyDescent="0.25">
      <c r="A35" s="141" t="s">
        <v>148</v>
      </c>
      <c r="B35" s="141" t="s">
        <v>294</v>
      </c>
      <c r="C35" s="141" t="s">
        <v>213</v>
      </c>
      <c r="D35" s="142" t="s">
        <v>241</v>
      </c>
      <c r="E35" s="158" t="s">
        <v>360</v>
      </c>
      <c r="F35" s="142" t="s">
        <v>142</v>
      </c>
      <c r="G35" s="141">
        <v>104000</v>
      </c>
      <c r="H35" s="141" t="s">
        <v>110</v>
      </c>
      <c r="I35" s="141" t="s">
        <v>247</v>
      </c>
      <c r="J35" s="159" t="s">
        <v>363</v>
      </c>
      <c r="K35" s="160">
        <v>0</v>
      </c>
      <c r="L35" s="141"/>
      <c r="M35" s="161">
        <v>10520.64</v>
      </c>
      <c r="N35" s="161">
        <v>0</v>
      </c>
      <c r="O35" s="161">
        <v>12000</v>
      </c>
      <c r="P35" s="161">
        <v>12000</v>
      </c>
      <c r="Q35" s="104">
        <f t="shared" si="1"/>
        <v>-1479.3600000000006</v>
      </c>
      <c r="R35" s="129"/>
      <c r="S35" s="66">
        <f t="shared" si="2"/>
        <v>1200.4050240000001</v>
      </c>
    </row>
    <row r="36" spans="1:19" ht="15" x14ac:dyDescent="0.25">
      <c r="A36" s="141" t="s">
        <v>148</v>
      </c>
      <c r="B36" s="141" t="s">
        <v>294</v>
      </c>
      <c r="C36" s="141" t="s">
        <v>213</v>
      </c>
      <c r="D36" s="142" t="s">
        <v>241</v>
      </c>
      <c r="E36" s="158" t="s">
        <v>360</v>
      </c>
      <c r="F36" s="142" t="s">
        <v>142</v>
      </c>
      <c r="G36" s="144">
        <v>109001</v>
      </c>
      <c r="H36" s="141" t="s">
        <v>101</v>
      </c>
      <c r="I36" s="141" t="s">
        <v>247</v>
      </c>
      <c r="J36" s="159" t="s">
        <v>248</v>
      </c>
      <c r="K36" s="160">
        <v>0</v>
      </c>
      <c r="L36" s="141"/>
      <c r="M36" s="161">
        <v>0</v>
      </c>
      <c r="N36" s="161">
        <v>4000</v>
      </c>
      <c r="O36" s="161">
        <v>-4000</v>
      </c>
      <c r="P36" s="161">
        <v>0</v>
      </c>
      <c r="Q36" s="104">
        <f t="shared" si="1"/>
        <v>0</v>
      </c>
      <c r="R36" s="129">
        <f t="shared" ref="R36:R38" si="3">M36*-1.141</f>
        <v>0</v>
      </c>
    </row>
    <row r="37" spans="1:19" ht="15" x14ac:dyDescent="0.25">
      <c r="A37" s="141" t="s">
        <v>148</v>
      </c>
      <c r="B37" s="141" t="s">
        <v>294</v>
      </c>
      <c r="C37" s="141" t="s">
        <v>213</v>
      </c>
      <c r="D37" s="142" t="s">
        <v>241</v>
      </c>
      <c r="E37" s="158" t="s">
        <v>360</v>
      </c>
      <c r="F37" s="142" t="s">
        <v>142</v>
      </c>
      <c r="G37" s="144">
        <v>109001</v>
      </c>
      <c r="H37" s="141" t="s">
        <v>101</v>
      </c>
      <c r="I37" s="141" t="s">
        <v>247</v>
      </c>
      <c r="J37" s="159" t="s">
        <v>295</v>
      </c>
      <c r="K37" s="160">
        <v>0</v>
      </c>
      <c r="L37" s="141"/>
      <c r="M37" s="161">
        <v>0</v>
      </c>
      <c r="N37" s="161">
        <v>84000</v>
      </c>
      <c r="O37" s="161">
        <v>-69000</v>
      </c>
      <c r="P37" s="161">
        <v>15000</v>
      </c>
      <c r="Q37" s="104">
        <f t="shared" si="1"/>
        <v>-15000</v>
      </c>
      <c r="R37" s="129">
        <f t="shared" si="3"/>
        <v>0</v>
      </c>
    </row>
    <row r="38" spans="1:19" ht="15" x14ac:dyDescent="0.25">
      <c r="A38" s="141" t="s">
        <v>148</v>
      </c>
      <c r="B38" s="141" t="s">
        <v>294</v>
      </c>
      <c r="C38" s="141" t="s">
        <v>213</v>
      </c>
      <c r="D38" s="142" t="s">
        <v>241</v>
      </c>
      <c r="E38" s="158" t="s">
        <v>360</v>
      </c>
      <c r="F38" s="142" t="s">
        <v>142</v>
      </c>
      <c r="G38" s="144">
        <v>109001</v>
      </c>
      <c r="H38" s="141" t="s">
        <v>101</v>
      </c>
      <c r="I38" s="141" t="s">
        <v>247</v>
      </c>
      <c r="J38" s="159" t="s">
        <v>361</v>
      </c>
      <c r="K38" s="160">
        <v>0</v>
      </c>
      <c r="L38" s="141"/>
      <c r="M38" s="161">
        <v>0</v>
      </c>
      <c r="N38" s="161">
        <v>-4000</v>
      </c>
      <c r="O38" s="161">
        <v>4000</v>
      </c>
      <c r="P38" s="161">
        <v>0</v>
      </c>
      <c r="Q38" s="104">
        <f t="shared" si="1"/>
        <v>0</v>
      </c>
      <c r="R38" s="129">
        <f t="shared" si="3"/>
        <v>0</v>
      </c>
    </row>
    <row r="39" spans="1:19" ht="15" x14ac:dyDescent="0.25">
      <c r="A39" s="141" t="s">
        <v>148</v>
      </c>
      <c r="B39" s="141" t="s">
        <v>294</v>
      </c>
      <c r="C39" s="141" t="s">
        <v>213</v>
      </c>
      <c r="D39" s="142" t="s">
        <v>241</v>
      </c>
      <c r="E39" s="158" t="s">
        <v>360</v>
      </c>
      <c r="F39" s="142" t="s">
        <v>142</v>
      </c>
      <c r="G39" s="144">
        <v>109901</v>
      </c>
      <c r="H39" s="141" t="s">
        <v>102</v>
      </c>
      <c r="I39" s="141" t="s">
        <v>247</v>
      </c>
      <c r="J39" s="159" t="s">
        <v>248</v>
      </c>
      <c r="K39" s="160">
        <v>0</v>
      </c>
      <c r="L39" s="141"/>
      <c r="M39" s="161">
        <v>0</v>
      </c>
      <c r="N39" s="161">
        <v>6000</v>
      </c>
      <c r="O39" s="161">
        <v>-6000</v>
      </c>
      <c r="P39" s="161">
        <v>0</v>
      </c>
      <c r="Q39" s="104">
        <f t="shared" si="1"/>
        <v>0</v>
      </c>
      <c r="R39" s="104"/>
    </row>
    <row r="40" spans="1:19" ht="15" x14ac:dyDescent="0.25">
      <c r="A40" s="141" t="s">
        <v>148</v>
      </c>
      <c r="B40" s="141" t="s">
        <v>294</v>
      </c>
      <c r="C40" s="141" t="s">
        <v>213</v>
      </c>
      <c r="D40" s="142" t="s">
        <v>241</v>
      </c>
      <c r="E40" s="158" t="s">
        <v>360</v>
      </c>
      <c r="F40" s="142" t="s">
        <v>142</v>
      </c>
      <c r="G40" s="144">
        <v>109901</v>
      </c>
      <c r="H40" s="141" t="s">
        <v>102</v>
      </c>
      <c r="I40" s="141" t="s">
        <v>247</v>
      </c>
      <c r="J40" s="159" t="s">
        <v>295</v>
      </c>
      <c r="K40" s="160">
        <v>0</v>
      </c>
      <c r="L40" s="141"/>
      <c r="M40" s="161">
        <v>0</v>
      </c>
      <c r="N40" s="161">
        <v>140000</v>
      </c>
      <c r="O40" s="161">
        <v>-64000</v>
      </c>
      <c r="P40" s="161">
        <v>76000</v>
      </c>
      <c r="Q40" s="104">
        <f t="shared" si="1"/>
        <v>-76000</v>
      </c>
      <c r="R40" s="129"/>
    </row>
    <row r="41" spans="1:19" ht="15" x14ac:dyDescent="0.25">
      <c r="A41" s="141" t="s">
        <v>148</v>
      </c>
      <c r="B41" s="141" t="s">
        <v>294</v>
      </c>
      <c r="C41" s="141" t="s">
        <v>213</v>
      </c>
      <c r="D41" s="142" t="s">
        <v>241</v>
      </c>
      <c r="E41" s="158" t="s">
        <v>360</v>
      </c>
      <c r="F41" s="142" t="s">
        <v>142</v>
      </c>
      <c r="G41" s="144">
        <v>109901</v>
      </c>
      <c r="H41" s="141" t="s">
        <v>102</v>
      </c>
      <c r="I41" s="141" t="s">
        <v>247</v>
      </c>
      <c r="J41" s="159" t="s">
        <v>361</v>
      </c>
      <c r="K41" s="160">
        <v>0</v>
      </c>
      <c r="L41" s="141"/>
      <c r="M41" s="161">
        <v>0</v>
      </c>
      <c r="N41" s="161">
        <v>-6000</v>
      </c>
      <c r="O41" s="161">
        <v>6000</v>
      </c>
      <c r="P41" s="161">
        <v>0</v>
      </c>
      <c r="Q41" s="104">
        <f t="shared" si="1"/>
        <v>0</v>
      </c>
      <c r="R41" s="129"/>
    </row>
    <row r="42" spans="1:19" ht="15" x14ac:dyDescent="0.25">
      <c r="A42" s="141" t="s">
        <v>148</v>
      </c>
      <c r="B42" s="141" t="s">
        <v>294</v>
      </c>
      <c r="C42" s="141" t="s">
        <v>213</v>
      </c>
      <c r="D42" s="142" t="s">
        <v>241</v>
      </c>
      <c r="E42" s="158" t="s">
        <v>360</v>
      </c>
      <c r="F42" s="142" t="s">
        <v>142</v>
      </c>
      <c r="G42" s="144">
        <v>109901</v>
      </c>
      <c r="H42" s="141" t="s">
        <v>102</v>
      </c>
      <c r="I42" s="141" t="s">
        <v>247</v>
      </c>
      <c r="J42" s="159" t="s">
        <v>363</v>
      </c>
      <c r="K42" s="160">
        <v>0</v>
      </c>
      <c r="L42" s="141"/>
      <c r="M42" s="161">
        <v>1483.43</v>
      </c>
      <c r="N42" s="161">
        <v>0</v>
      </c>
      <c r="O42" s="161">
        <v>0</v>
      </c>
      <c r="P42" s="161">
        <v>0</v>
      </c>
      <c r="Q42" s="104">
        <f t="shared" si="1"/>
        <v>1483.43</v>
      </c>
      <c r="R42" s="104"/>
    </row>
    <row r="43" spans="1:19" ht="15" x14ac:dyDescent="0.25">
      <c r="A43" s="141" t="s">
        <v>148</v>
      </c>
      <c r="B43" s="141" t="s">
        <v>298</v>
      </c>
      <c r="C43" s="141" t="s">
        <v>156</v>
      </c>
      <c r="D43" s="142" t="s">
        <v>241</v>
      </c>
      <c r="E43" s="158" t="s">
        <v>360</v>
      </c>
      <c r="F43" s="142" t="s">
        <v>142</v>
      </c>
      <c r="G43" s="141">
        <v>101001</v>
      </c>
      <c r="H43" s="141" t="s">
        <v>104</v>
      </c>
      <c r="I43" s="141" t="s">
        <v>247</v>
      </c>
      <c r="J43" s="159" t="s">
        <v>248</v>
      </c>
      <c r="K43" s="160">
        <v>0</v>
      </c>
      <c r="L43" s="141"/>
      <c r="M43" s="161">
        <v>4543236.87</v>
      </c>
      <c r="N43" s="161">
        <v>4571000</v>
      </c>
      <c r="O43" s="161">
        <v>87000</v>
      </c>
      <c r="P43" s="161">
        <v>4658000</v>
      </c>
      <c r="Q43" s="104">
        <f t="shared" si="1"/>
        <v>-114763.12999999989</v>
      </c>
      <c r="R43" s="129"/>
      <c r="S43" s="66">
        <f t="shared" si="2"/>
        <v>518383.32686700003</v>
      </c>
    </row>
    <row r="44" spans="1:19" ht="15" x14ac:dyDescent="0.25">
      <c r="A44" s="141" t="s">
        <v>148</v>
      </c>
      <c r="B44" s="141" t="s">
        <v>298</v>
      </c>
      <c r="C44" s="141" t="s">
        <v>156</v>
      </c>
      <c r="D44" s="142" t="s">
        <v>241</v>
      </c>
      <c r="E44" s="158" t="s">
        <v>360</v>
      </c>
      <c r="F44" s="142" t="s">
        <v>142</v>
      </c>
      <c r="G44" s="141">
        <v>101002</v>
      </c>
      <c r="H44" s="141" t="s">
        <v>105</v>
      </c>
      <c r="I44" s="141" t="s">
        <v>247</v>
      </c>
      <c r="J44" s="159" t="s">
        <v>248</v>
      </c>
      <c r="K44" s="160">
        <v>0</v>
      </c>
      <c r="L44" s="141"/>
      <c r="M44" s="161">
        <v>148059.16</v>
      </c>
      <c r="N44" s="161">
        <v>0</v>
      </c>
      <c r="O44" s="161">
        <v>0</v>
      </c>
      <c r="P44" s="161">
        <v>0</v>
      </c>
      <c r="Q44" s="104">
        <f t="shared" si="1"/>
        <v>148059.16</v>
      </c>
      <c r="R44" s="104"/>
      <c r="S44" s="66">
        <f t="shared" si="2"/>
        <v>16893.550156000001</v>
      </c>
    </row>
    <row r="45" spans="1:19" ht="15" x14ac:dyDescent="0.25">
      <c r="A45" s="141" t="s">
        <v>148</v>
      </c>
      <c r="B45" s="141" t="s">
        <v>298</v>
      </c>
      <c r="C45" s="141" t="s">
        <v>156</v>
      </c>
      <c r="D45" s="142" t="s">
        <v>241</v>
      </c>
      <c r="E45" s="158" t="s">
        <v>360</v>
      </c>
      <c r="F45" s="142" t="s">
        <v>142</v>
      </c>
      <c r="G45" s="141">
        <v>101002</v>
      </c>
      <c r="H45" s="141" t="s">
        <v>105</v>
      </c>
      <c r="I45" s="141" t="s">
        <v>247</v>
      </c>
      <c r="J45" s="159" t="s">
        <v>297</v>
      </c>
      <c r="K45" s="160">
        <v>0</v>
      </c>
      <c r="L45" s="141"/>
      <c r="M45" s="161">
        <v>8971.07</v>
      </c>
      <c r="N45" s="161">
        <v>0</v>
      </c>
      <c r="O45" s="161">
        <v>0</v>
      </c>
      <c r="P45" s="161">
        <v>0</v>
      </c>
      <c r="Q45" s="104">
        <f t="shared" si="1"/>
        <v>8971.07</v>
      </c>
      <c r="R45" s="104"/>
      <c r="S45" s="66">
        <f t="shared" si="2"/>
        <v>1023.5990869999999</v>
      </c>
    </row>
    <row r="46" spans="1:19" ht="15" x14ac:dyDescent="0.25">
      <c r="A46" s="141" t="s">
        <v>148</v>
      </c>
      <c r="B46" s="141" t="s">
        <v>298</v>
      </c>
      <c r="C46" s="141" t="s">
        <v>156</v>
      </c>
      <c r="D46" s="142" t="s">
        <v>241</v>
      </c>
      <c r="E46" s="158" t="s">
        <v>360</v>
      </c>
      <c r="F46" s="142" t="s">
        <v>142</v>
      </c>
      <c r="G46" s="141">
        <v>101002</v>
      </c>
      <c r="H46" s="141" t="s">
        <v>105</v>
      </c>
      <c r="I46" s="141" t="s">
        <v>247</v>
      </c>
      <c r="J46" s="159" t="s">
        <v>286</v>
      </c>
      <c r="K46" s="160">
        <v>0</v>
      </c>
      <c r="L46" s="141"/>
      <c r="M46" s="161">
        <v>1734.44</v>
      </c>
      <c r="N46" s="161">
        <v>0</v>
      </c>
      <c r="O46" s="161">
        <v>0</v>
      </c>
      <c r="P46" s="161">
        <v>0</v>
      </c>
      <c r="Q46" s="104">
        <f t="shared" si="1"/>
        <v>1734.44</v>
      </c>
      <c r="R46" s="104"/>
      <c r="S46" s="66">
        <f t="shared" si="2"/>
        <v>197.89960400000001</v>
      </c>
    </row>
    <row r="47" spans="1:19" ht="15" x14ac:dyDescent="0.25">
      <c r="A47" s="141" t="s">
        <v>148</v>
      </c>
      <c r="B47" s="141" t="s">
        <v>298</v>
      </c>
      <c r="C47" s="141" t="s">
        <v>156</v>
      </c>
      <c r="D47" s="142" t="s">
        <v>241</v>
      </c>
      <c r="E47" s="158" t="s">
        <v>360</v>
      </c>
      <c r="F47" s="142" t="s">
        <v>142</v>
      </c>
      <c r="G47" s="141">
        <v>101039</v>
      </c>
      <c r="H47" s="141" t="s">
        <v>107</v>
      </c>
      <c r="I47" s="141" t="s">
        <v>247</v>
      </c>
      <c r="J47" s="159" t="s">
        <v>248</v>
      </c>
      <c r="K47" s="160">
        <v>0</v>
      </c>
      <c r="L47" s="141"/>
      <c r="M47" s="161">
        <v>130496.88</v>
      </c>
      <c r="N47" s="161">
        <v>10000</v>
      </c>
      <c r="O47" s="161">
        <v>0</v>
      </c>
      <c r="P47" s="161">
        <v>10000</v>
      </c>
      <c r="Q47" s="104">
        <f t="shared" si="1"/>
        <v>120496.88</v>
      </c>
      <c r="R47" s="104"/>
      <c r="S47" s="66">
        <f t="shared" si="2"/>
        <v>14889.694008000002</v>
      </c>
    </row>
    <row r="48" spans="1:19" ht="15" x14ac:dyDescent="0.25">
      <c r="A48" s="141" t="s">
        <v>148</v>
      </c>
      <c r="B48" s="141" t="s">
        <v>298</v>
      </c>
      <c r="C48" s="141" t="s">
        <v>156</v>
      </c>
      <c r="D48" s="142" t="s">
        <v>241</v>
      </c>
      <c r="E48" s="158" t="s">
        <v>360</v>
      </c>
      <c r="F48" s="142" t="s">
        <v>142</v>
      </c>
      <c r="G48" s="141">
        <v>102001</v>
      </c>
      <c r="H48" s="141" t="s">
        <v>143</v>
      </c>
      <c r="I48" s="141" t="s">
        <v>247</v>
      </c>
      <c r="J48" s="159" t="s">
        <v>248</v>
      </c>
      <c r="K48" s="160">
        <v>0</v>
      </c>
      <c r="L48" s="141"/>
      <c r="M48" s="161">
        <v>123848.79</v>
      </c>
      <c r="N48" s="161">
        <v>0</v>
      </c>
      <c r="O48" s="161">
        <v>0</v>
      </c>
      <c r="P48" s="161">
        <v>0</v>
      </c>
      <c r="Q48" s="104">
        <f t="shared" si="1"/>
        <v>123848.79</v>
      </c>
      <c r="R48" s="104"/>
      <c r="S48" s="66">
        <f t="shared" si="2"/>
        <v>14131.146939</v>
      </c>
    </row>
    <row r="49" spans="1:19" ht="15" x14ac:dyDescent="0.25">
      <c r="A49" s="141" t="s">
        <v>148</v>
      </c>
      <c r="B49" s="141" t="s">
        <v>298</v>
      </c>
      <c r="C49" s="141" t="s">
        <v>156</v>
      </c>
      <c r="D49" s="142" t="s">
        <v>241</v>
      </c>
      <c r="E49" s="158" t="s">
        <v>360</v>
      </c>
      <c r="F49" s="142" t="s">
        <v>142</v>
      </c>
      <c r="G49" s="141">
        <v>102002</v>
      </c>
      <c r="H49" s="141" t="s">
        <v>108</v>
      </c>
      <c r="I49" s="141" t="s">
        <v>247</v>
      </c>
      <c r="J49" s="159" t="s">
        <v>248</v>
      </c>
      <c r="K49" s="160">
        <v>0</v>
      </c>
      <c r="L49" s="141"/>
      <c r="M49" s="161">
        <v>1971.65</v>
      </c>
      <c r="N49" s="161">
        <v>0</v>
      </c>
      <c r="O49" s="161">
        <v>0</v>
      </c>
      <c r="P49" s="161">
        <v>0</v>
      </c>
      <c r="Q49" s="104">
        <f t="shared" si="1"/>
        <v>1971.65</v>
      </c>
      <c r="R49" s="104"/>
      <c r="S49" s="66">
        <f t="shared" si="2"/>
        <v>224.96526500000002</v>
      </c>
    </row>
    <row r="50" spans="1:19" ht="15" x14ac:dyDescent="0.25">
      <c r="A50" s="141" t="s">
        <v>148</v>
      </c>
      <c r="B50" s="141" t="s">
        <v>298</v>
      </c>
      <c r="C50" s="141" t="s">
        <v>156</v>
      </c>
      <c r="D50" s="142" t="s">
        <v>241</v>
      </c>
      <c r="E50" s="158" t="s">
        <v>360</v>
      </c>
      <c r="F50" s="142" t="s">
        <v>142</v>
      </c>
      <c r="G50" s="141">
        <v>102002</v>
      </c>
      <c r="H50" s="141" t="s">
        <v>108</v>
      </c>
      <c r="I50" s="141" t="s">
        <v>247</v>
      </c>
      <c r="J50" s="159" t="s">
        <v>297</v>
      </c>
      <c r="K50" s="160">
        <v>0</v>
      </c>
      <c r="L50" s="141"/>
      <c r="M50" s="161">
        <v>1512.84</v>
      </c>
      <c r="N50" s="161">
        <v>0</v>
      </c>
      <c r="O50" s="161">
        <v>0</v>
      </c>
      <c r="P50" s="161">
        <v>0</v>
      </c>
      <c r="Q50" s="104">
        <f t="shared" si="1"/>
        <v>1512.84</v>
      </c>
      <c r="R50" s="104"/>
      <c r="S50" s="66">
        <f t="shared" si="2"/>
        <v>172.61504399999998</v>
      </c>
    </row>
    <row r="51" spans="1:19" ht="15" x14ac:dyDescent="0.25">
      <c r="A51" s="141" t="s">
        <v>148</v>
      </c>
      <c r="B51" s="141" t="s">
        <v>298</v>
      </c>
      <c r="C51" s="141" t="s">
        <v>156</v>
      </c>
      <c r="D51" s="142" t="s">
        <v>241</v>
      </c>
      <c r="E51" s="158" t="s">
        <v>360</v>
      </c>
      <c r="F51" s="142" t="s">
        <v>142</v>
      </c>
      <c r="G51" s="141">
        <v>102003</v>
      </c>
      <c r="H51" s="141" t="s">
        <v>106</v>
      </c>
      <c r="I51" s="141" t="s">
        <v>247</v>
      </c>
      <c r="J51" s="159" t="s">
        <v>248</v>
      </c>
      <c r="K51" s="160">
        <v>0</v>
      </c>
      <c r="L51" s="141"/>
      <c r="M51" s="161">
        <v>118760.38</v>
      </c>
      <c r="N51" s="161">
        <v>100000</v>
      </c>
      <c r="O51" s="161">
        <v>35000</v>
      </c>
      <c r="P51" s="161">
        <v>135000</v>
      </c>
      <c r="Q51" s="104">
        <f t="shared" si="1"/>
        <v>-16239.619999999995</v>
      </c>
      <c r="R51" s="104"/>
      <c r="S51" s="66">
        <f t="shared" si="2"/>
        <v>13550.559358</v>
      </c>
    </row>
    <row r="52" spans="1:19" ht="15" x14ac:dyDescent="0.25">
      <c r="A52" s="141" t="s">
        <v>148</v>
      </c>
      <c r="B52" s="141" t="s">
        <v>298</v>
      </c>
      <c r="C52" s="141" t="s">
        <v>156</v>
      </c>
      <c r="D52" s="142" t="s">
        <v>241</v>
      </c>
      <c r="E52" s="158" t="s">
        <v>360</v>
      </c>
      <c r="F52" s="142" t="s">
        <v>142</v>
      </c>
      <c r="G52" s="141">
        <v>102003</v>
      </c>
      <c r="H52" s="141" t="s">
        <v>106</v>
      </c>
      <c r="I52" s="141" t="s">
        <v>247</v>
      </c>
      <c r="J52" s="159" t="s">
        <v>286</v>
      </c>
      <c r="K52" s="160">
        <v>0</v>
      </c>
      <c r="L52" s="141"/>
      <c r="M52" s="161">
        <v>5575</v>
      </c>
      <c r="N52" s="161">
        <v>0</v>
      </c>
      <c r="O52" s="161">
        <v>0</v>
      </c>
      <c r="P52" s="161">
        <v>0</v>
      </c>
      <c r="Q52" s="104">
        <f t="shared" si="1"/>
        <v>5575</v>
      </c>
      <c r="R52" s="104"/>
      <c r="S52" s="66">
        <f t="shared" si="2"/>
        <v>636.10749999999996</v>
      </c>
    </row>
    <row r="53" spans="1:19" ht="15" x14ac:dyDescent="0.25">
      <c r="A53" s="141" t="s">
        <v>148</v>
      </c>
      <c r="B53" s="141" t="s">
        <v>298</v>
      </c>
      <c r="C53" s="141" t="s">
        <v>156</v>
      </c>
      <c r="D53" s="142" t="s">
        <v>241</v>
      </c>
      <c r="E53" s="158" t="s">
        <v>360</v>
      </c>
      <c r="F53" s="142" t="s">
        <v>142</v>
      </c>
      <c r="G53" s="141">
        <v>102005</v>
      </c>
      <c r="H53" s="141" t="s">
        <v>112</v>
      </c>
      <c r="I53" s="141" t="s">
        <v>247</v>
      </c>
      <c r="J53" s="159" t="s">
        <v>248</v>
      </c>
      <c r="K53" s="160">
        <v>0</v>
      </c>
      <c r="L53" s="141"/>
      <c r="M53" s="161">
        <v>19612.77</v>
      </c>
      <c r="N53" s="161">
        <v>0</v>
      </c>
      <c r="O53" s="161">
        <v>0</v>
      </c>
      <c r="P53" s="161">
        <v>0</v>
      </c>
      <c r="Q53" s="104">
        <f t="shared" si="1"/>
        <v>19612.77</v>
      </c>
      <c r="R53" s="104"/>
      <c r="S53" s="66">
        <f t="shared" si="2"/>
        <v>2237.8170570000002</v>
      </c>
    </row>
    <row r="54" spans="1:19" ht="15" x14ac:dyDescent="0.25">
      <c r="A54" s="141" t="s">
        <v>148</v>
      </c>
      <c r="B54" s="141" t="s">
        <v>298</v>
      </c>
      <c r="C54" s="141" t="s">
        <v>156</v>
      </c>
      <c r="D54" s="142" t="s">
        <v>241</v>
      </c>
      <c r="E54" s="158" t="s">
        <v>360</v>
      </c>
      <c r="F54" s="142" t="s">
        <v>142</v>
      </c>
      <c r="G54" s="141">
        <v>102005</v>
      </c>
      <c r="H54" s="141" t="s">
        <v>112</v>
      </c>
      <c r="I54" s="141" t="s">
        <v>247</v>
      </c>
      <c r="J54" s="159" t="s">
        <v>297</v>
      </c>
      <c r="K54" s="160">
        <v>0</v>
      </c>
      <c r="L54" s="141"/>
      <c r="M54" s="161">
        <v>5575</v>
      </c>
      <c r="N54" s="161">
        <v>0</v>
      </c>
      <c r="O54" s="161">
        <v>0</v>
      </c>
      <c r="P54" s="161">
        <v>0</v>
      </c>
      <c r="Q54" s="104">
        <f t="shared" si="1"/>
        <v>5575</v>
      </c>
      <c r="R54" s="104"/>
      <c r="S54" s="66">
        <f t="shared" si="2"/>
        <v>636.10749999999996</v>
      </c>
    </row>
    <row r="55" spans="1:19" ht="15" x14ac:dyDescent="0.25">
      <c r="A55" s="141" t="s">
        <v>148</v>
      </c>
      <c r="B55" s="141" t="s">
        <v>298</v>
      </c>
      <c r="C55" s="141" t="s">
        <v>156</v>
      </c>
      <c r="D55" s="142" t="s">
        <v>241</v>
      </c>
      <c r="E55" s="158" t="s">
        <v>360</v>
      </c>
      <c r="F55" s="142" t="s">
        <v>142</v>
      </c>
      <c r="G55" s="141">
        <v>102005</v>
      </c>
      <c r="H55" s="141" t="s">
        <v>112</v>
      </c>
      <c r="I55" s="141" t="s">
        <v>247</v>
      </c>
      <c r="J55" s="159" t="s">
        <v>286</v>
      </c>
      <c r="K55" s="160">
        <v>0</v>
      </c>
      <c r="L55" s="141"/>
      <c r="M55" s="161">
        <v>3716.66</v>
      </c>
      <c r="N55" s="161">
        <v>0</v>
      </c>
      <c r="O55" s="161">
        <v>0</v>
      </c>
      <c r="P55" s="161">
        <v>0</v>
      </c>
      <c r="Q55" s="104">
        <f t="shared" si="1"/>
        <v>3716.66</v>
      </c>
      <c r="R55" s="104"/>
      <c r="S55" s="66">
        <f t="shared" si="2"/>
        <v>424.07090599999998</v>
      </c>
    </row>
    <row r="56" spans="1:19" ht="15" x14ac:dyDescent="0.25">
      <c r="A56" s="141" t="s">
        <v>148</v>
      </c>
      <c r="B56" s="141" t="s">
        <v>298</v>
      </c>
      <c r="C56" s="141" t="s">
        <v>156</v>
      </c>
      <c r="D56" s="142" t="s">
        <v>241</v>
      </c>
      <c r="E56" s="158" t="s">
        <v>360</v>
      </c>
      <c r="F56" s="142" t="s">
        <v>142</v>
      </c>
      <c r="G56" s="141">
        <v>102062</v>
      </c>
      <c r="H56" s="141" t="s">
        <v>113</v>
      </c>
      <c r="I56" s="141" t="s">
        <v>247</v>
      </c>
      <c r="J56" s="159" t="s">
        <v>248</v>
      </c>
      <c r="K56" s="160">
        <v>0</v>
      </c>
      <c r="L56" s="141"/>
      <c r="M56" s="161">
        <v>4460.3500000000004</v>
      </c>
      <c r="N56" s="161">
        <v>0</v>
      </c>
      <c r="O56" s="161">
        <v>0</v>
      </c>
      <c r="P56" s="161">
        <v>0</v>
      </c>
      <c r="Q56" s="104">
        <f t="shared" si="1"/>
        <v>4460.3500000000004</v>
      </c>
      <c r="R56" s="104"/>
      <c r="S56" s="66">
        <f t="shared" si="2"/>
        <v>508.92593500000009</v>
      </c>
    </row>
    <row r="57" spans="1:19" ht="15" x14ac:dyDescent="0.25">
      <c r="A57" s="141" t="s">
        <v>148</v>
      </c>
      <c r="B57" s="141" t="s">
        <v>298</v>
      </c>
      <c r="C57" s="141" t="s">
        <v>156</v>
      </c>
      <c r="D57" s="142" t="s">
        <v>241</v>
      </c>
      <c r="E57" s="158" t="s">
        <v>360</v>
      </c>
      <c r="F57" s="142" t="s">
        <v>142</v>
      </c>
      <c r="G57" s="141">
        <v>103001</v>
      </c>
      <c r="H57" s="141" t="s">
        <v>109</v>
      </c>
      <c r="I57" s="141" t="s">
        <v>247</v>
      </c>
      <c r="J57" s="159" t="s">
        <v>248</v>
      </c>
      <c r="K57" s="160">
        <v>0</v>
      </c>
      <c r="L57" s="141"/>
      <c r="M57" s="161">
        <v>61637.52</v>
      </c>
      <c r="N57" s="161">
        <v>0</v>
      </c>
      <c r="O57" s="161">
        <v>0</v>
      </c>
      <c r="P57" s="161">
        <v>0</v>
      </c>
      <c r="Q57" s="104">
        <f t="shared" si="1"/>
        <v>61637.52</v>
      </c>
      <c r="R57" s="104"/>
      <c r="S57" s="66">
        <f t="shared" si="2"/>
        <v>7032.8410320000003</v>
      </c>
    </row>
    <row r="58" spans="1:19" ht="15" x14ac:dyDescent="0.25">
      <c r="A58" s="141" t="s">
        <v>148</v>
      </c>
      <c r="B58" s="141" t="s">
        <v>298</v>
      </c>
      <c r="C58" s="141" t="s">
        <v>156</v>
      </c>
      <c r="D58" s="142" t="s">
        <v>241</v>
      </c>
      <c r="E58" s="158" t="s">
        <v>360</v>
      </c>
      <c r="F58" s="142" t="s">
        <v>142</v>
      </c>
      <c r="G58" s="141">
        <v>103001</v>
      </c>
      <c r="H58" s="141" t="s">
        <v>109</v>
      </c>
      <c r="I58" s="141" t="s">
        <v>247</v>
      </c>
      <c r="J58" s="159" t="s">
        <v>297</v>
      </c>
      <c r="K58" s="160">
        <v>0</v>
      </c>
      <c r="L58" s="141"/>
      <c r="M58" s="161">
        <v>1669.68</v>
      </c>
      <c r="N58" s="161">
        <v>0</v>
      </c>
      <c r="O58" s="161">
        <v>0</v>
      </c>
      <c r="P58" s="161">
        <v>0</v>
      </c>
      <c r="Q58" s="104">
        <f t="shared" si="1"/>
        <v>1669.68</v>
      </c>
      <c r="R58" s="104"/>
      <c r="S58" s="66">
        <f t="shared" si="2"/>
        <v>190.51048800000001</v>
      </c>
    </row>
    <row r="59" spans="1:19" ht="15" x14ac:dyDescent="0.25">
      <c r="A59" s="141" t="s">
        <v>148</v>
      </c>
      <c r="B59" s="141" t="s">
        <v>298</v>
      </c>
      <c r="C59" s="141" t="s">
        <v>156</v>
      </c>
      <c r="D59" s="142" t="s">
        <v>241</v>
      </c>
      <c r="E59" s="158" t="s">
        <v>360</v>
      </c>
      <c r="F59" s="142" t="s">
        <v>142</v>
      </c>
      <c r="G59" s="141">
        <v>103001</v>
      </c>
      <c r="H59" s="141" t="s">
        <v>109</v>
      </c>
      <c r="I59" s="141" t="s">
        <v>247</v>
      </c>
      <c r="J59" s="159" t="s">
        <v>286</v>
      </c>
      <c r="K59" s="160">
        <v>0</v>
      </c>
      <c r="L59" s="141"/>
      <c r="M59" s="161">
        <v>2998.87</v>
      </c>
      <c r="N59" s="161">
        <v>0</v>
      </c>
      <c r="O59" s="161">
        <v>0</v>
      </c>
      <c r="P59" s="161">
        <v>0</v>
      </c>
      <c r="Q59" s="104">
        <f t="shared" si="1"/>
        <v>2998.87</v>
      </c>
      <c r="R59" s="104"/>
      <c r="S59" s="66">
        <f t="shared" si="2"/>
        <v>342.17106699999999</v>
      </c>
    </row>
    <row r="60" spans="1:19" ht="15" x14ac:dyDescent="0.25">
      <c r="A60" s="141" t="s">
        <v>148</v>
      </c>
      <c r="B60" s="141" t="s">
        <v>298</v>
      </c>
      <c r="C60" s="141" t="s">
        <v>156</v>
      </c>
      <c r="D60" s="142" t="s">
        <v>241</v>
      </c>
      <c r="E60" s="158" t="s">
        <v>360</v>
      </c>
      <c r="F60" s="142" t="s">
        <v>142</v>
      </c>
      <c r="G60" s="141">
        <v>103062</v>
      </c>
      <c r="H60" s="141" t="s">
        <v>114</v>
      </c>
      <c r="I60" s="141" t="s">
        <v>247</v>
      </c>
      <c r="J60" s="159" t="s">
        <v>248</v>
      </c>
      <c r="K60" s="160">
        <v>0</v>
      </c>
      <c r="L60" s="141"/>
      <c r="M60" s="161">
        <v>146.30000000000001</v>
      </c>
      <c r="N60" s="161">
        <v>0</v>
      </c>
      <c r="O60" s="161">
        <v>0</v>
      </c>
      <c r="P60" s="161">
        <v>0</v>
      </c>
      <c r="Q60" s="104">
        <f t="shared" si="1"/>
        <v>146.30000000000001</v>
      </c>
      <c r="R60" s="104"/>
      <c r="S60" s="66">
        <f t="shared" si="2"/>
        <v>16.692830000000004</v>
      </c>
    </row>
    <row r="61" spans="1:19" ht="15" x14ac:dyDescent="0.25">
      <c r="A61" s="141" t="s">
        <v>148</v>
      </c>
      <c r="B61" s="141" t="s">
        <v>298</v>
      </c>
      <c r="C61" s="141" t="s">
        <v>156</v>
      </c>
      <c r="D61" s="142" t="s">
        <v>241</v>
      </c>
      <c r="E61" s="158" t="s">
        <v>360</v>
      </c>
      <c r="F61" s="142" t="s">
        <v>142</v>
      </c>
      <c r="G61" s="141">
        <v>103069</v>
      </c>
      <c r="H61" s="141" t="s">
        <v>214</v>
      </c>
      <c r="I61" s="141" t="s">
        <v>247</v>
      </c>
      <c r="J61" s="159" t="s">
        <v>248</v>
      </c>
      <c r="K61" s="160">
        <v>0</v>
      </c>
      <c r="L61" s="141"/>
      <c r="M61" s="161">
        <v>8906.59</v>
      </c>
      <c r="N61" s="161">
        <v>0</v>
      </c>
      <c r="O61" s="161">
        <v>0</v>
      </c>
      <c r="P61" s="161">
        <v>0</v>
      </c>
      <c r="Q61" s="104">
        <f t="shared" si="1"/>
        <v>8906.59</v>
      </c>
      <c r="R61" s="104"/>
      <c r="S61" s="66">
        <f t="shared" si="2"/>
        <v>1016.2419190000002</v>
      </c>
    </row>
    <row r="62" spans="1:19" ht="15" x14ac:dyDescent="0.25">
      <c r="A62" s="141" t="s">
        <v>148</v>
      </c>
      <c r="B62" s="141" t="s">
        <v>298</v>
      </c>
      <c r="C62" s="141" t="s">
        <v>156</v>
      </c>
      <c r="D62" s="142" t="s">
        <v>241</v>
      </c>
      <c r="E62" s="158" t="s">
        <v>360</v>
      </c>
      <c r="F62" s="142" t="s">
        <v>142</v>
      </c>
      <c r="G62" s="141">
        <v>104000</v>
      </c>
      <c r="H62" s="141" t="s">
        <v>110</v>
      </c>
      <c r="I62" s="141" t="s">
        <v>247</v>
      </c>
      <c r="J62" s="159" t="s">
        <v>248</v>
      </c>
      <c r="K62" s="160">
        <v>0</v>
      </c>
      <c r="L62" s="141"/>
      <c r="M62" s="161">
        <v>34572.81</v>
      </c>
      <c r="N62" s="161">
        <v>42000</v>
      </c>
      <c r="O62" s="161">
        <v>0</v>
      </c>
      <c r="P62" s="161">
        <v>42000</v>
      </c>
      <c r="Q62" s="104">
        <f t="shared" si="1"/>
        <v>-7427.1900000000023</v>
      </c>
      <c r="R62" s="104"/>
      <c r="S62" s="66">
        <f t="shared" si="2"/>
        <v>3944.7576210000002</v>
      </c>
    </row>
    <row r="63" spans="1:19" ht="15" x14ac:dyDescent="0.25">
      <c r="A63" s="141" t="s">
        <v>148</v>
      </c>
      <c r="B63" s="141" t="s">
        <v>298</v>
      </c>
      <c r="C63" s="141" t="s">
        <v>156</v>
      </c>
      <c r="D63" s="142" t="s">
        <v>241</v>
      </c>
      <c r="E63" s="158" t="s">
        <v>360</v>
      </c>
      <c r="F63" s="142" t="s">
        <v>142</v>
      </c>
      <c r="G63" s="141">
        <v>104000</v>
      </c>
      <c r="H63" s="141" t="s">
        <v>110</v>
      </c>
      <c r="I63" s="141" t="s">
        <v>247</v>
      </c>
      <c r="J63" s="159" t="s">
        <v>286</v>
      </c>
      <c r="K63" s="160">
        <v>0</v>
      </c>
      <c r="L63" s="141"/>
      <c r="M63" s="161">
        <v>1035.02</v>
      </c>
      <c r="N63" s="161">
        <v>0</v>
      </c>
      <c r="O63" s="161">
        <v>0</v>
      </c>
      <c r="P63" s="161">
        <v>0</v>
      </c>
      <c r="Q63" s="104">
        <f t="shared" si="1"/>
        <v>1035.02</v>
      </c>
      <c r="R63" s="104"/>
      <c r="S63" s="66">
        <f t="shared" si="2"/>
        <v>118.09578200000001</v>
      </c>
    </row>
    <row r="64" spans="1:19" ht="15" x14ac:dyDescent="0.25">
      <c r="A64" s="141" t="s">
        <v>148</v>
      </c>
      <c r="B64" s="141" t="s">
        <v>298</v>
      </c>
      <c r="C64" s="141" t="s">
        <v>156</v>
      </c>
      <c r="D64" s="142" t="s">
        <v>241</v>
      </c>
      <c r="E64" s="158" t="s">
        <v>360</v>
      </c>
      <c r="F64" s="142" t="s">
        <v>142</v>
      </c>
      <c r="G64" s="141">
        <v>105010</v>
      </c>
      <c r="H64" s="141" t="s">
        <v>118</v>
      </c>
      <c r="I64" s="141" t="s">
        <v>247</v>
      </c>
      <c r="J64" s="159" t="s">
        <v>248</v>
      </c>
      <c r="K64" s="160">
        <v>0</v>
      </c>
      <c r="L64" s="141"/>
      <c r="M64" s="161">
        <v>8715.43</v>
      </c>
      <c r="N64" s="161">
        <v>0</v>
      </c>
      <c r="O64" s="161">
        <v>0</v>
      </c>
      <c r="P64" s="161">
        <v>0</v>
      </c>
      <c r="Q64" s="104">
        <f t="shared" si="1"/>
        <v>8715.43</v>
      </c>
      <c r="R64" s="104"/>
      <c r="S64" s="66">
        <f t="shared" si="2"/>
        <v>994.43056300000012</v>
      </c>
    </row>
    <row r="65" spans="1:19" ht="15" x14ac:dyDescent="0.25">
      <c r="A65" s="141" t="s">
        <v>148</v>
      </c>
      <c r="B65" s="141" t="s">
        <v>298</v>
      </c>
      <c r="C65" s="141" t="s">
        <v>156</v>
      </c>
      <c r="D65" s="142" t="s">
        <v>241</v>
      </c>
      <c r="E65" s="158" t="s">
        <v>360</v>
      </c>
      <c r="F65" s="142" t="s">
        <v>142</v>
      </c>
      <c r="G65" s="144">
        <v>109001</v>
      </c>
      <c r="H65" s="141" t="s">
        <v>101</v>
      </c>
      <c r="I65" s="141" t="s">
        <v>247</v>
      </c>
      <c r="J65" s="159" t="s">
        <v>248</v>
      </c>
      <c r="K65" s="160">
        <v>0</v>
      </c>
      <c r="L65" s="141"/>
      <c r="M65" s="161">
        <v>479752.25</v>
      </c>
      <c r="N65" s="161">
        <v>443000</v>
      </c>
      <c r="O65" s="161">
        <v>13000</v>
      </c>
      <c r="P65" s="161">
        <v>456000</v>
      </c>
      <c r="Q65" s="104">
        <f t="shared" si="1"/>
        <v>23752.25</v>
      </c>
      <c r="R65" s="129">
        <f t="shared" ref="R65:R67" si="4">M65*-1.141</f>
        <v>-547397.31724999996</v>
      </c>
    </row>
    <row r="66" spans="1:19" ht="15" x14ac:dyDescent="0.25">
      <c r="A66" s="141" t="s">
        <v>148</v>
      </c>
      <c r="B66" s="141" t="s">
        <v>298</v>
      </c>
      <c r="C66" s="141" t="s">
        <v>156</v>
      </c>
      <c r="D66" s="142" t="s">
        <v>241</v>
      </c>
      <c r="E66" s="158" t="s">
        <v>360</v>
      </c>
      <c r="F66" s="142" t="s">
        <v>142</v>
      </c>
      <c r="G66" s="144">
        <v>109001</v>
      </c>
      <c r="H66" s="141" t="s">
        <v>101</v>
      </c>
      <c r="I66" s="141" t="s">
        <v>247</v>
      </c>
      <c r="J66" s="159" t="s">
        <v>297</v>
      </c>
      <c r="K66" s="160">
        <v>0</v>
      </c>
      <c r="L66" s="141"/>
      <c r="M66" s="161">
        <v>1682.35</v>
      </c>
      <c r="N66" s="161">
        <v>0</v>
      </c>
      <c r="O66" s="161">
        <v>0</v>
      </c>
      <c r="P66" s="161">
        <v>0</v>
      </c>
      <c r="Q66" s="104">
        <f t="shared" si="1"/>
        <v>1682.35</v>
      </c>
      <c r="R66" s="129">
        <f t="shared" si="4"/>
        <v>-1919.5613499999999</v>
      </c>
    </row>
    <row r="67" spans="1:19" ht="15" x14ac:dyDescent="0.25">
      <c r="A67" s="141" t="s">
        <v>148</v>
      </c>
      <c r="B67" s="141" t="s">
        <v>298</v>
      </c>
      <c r="C67" s="141" t="s">
        <v>156</v>
      </c>
      <c r="D67" s="142" t="s">
        <v>241</v>
      </c>
      <c r="E67" s="158" t="s">
        <v>360</v>
      </c>
      <c r="F67" s="142" t="s">
        <v>142</v>
      </c>
      <c r="G67" s="144">
        <v>109001</v>
      </c>
      <c r="H67" s="141" t="s">
        <v>101</v>
      </c>
      <c r="I67" s="141" t="s">
        <v>247</v>
      </c>
      <c r="J67" s="159" t="s">
        <v>286</v>
      </c>
      <c r="K67" s="160">
        <v>0</v>
      </c>
      <c r="L67" s="141"/>
      <c r="M67" s="161">
        <v>1326.51</v>
      </c>
      <c r="N67" s="161">
        <v>0</v>
      </c>
      <c r="O67" s="161">
        <v>0</v>
      </c>
      <c r="P67" s="161">
        <v>0</v>
      </c>
      <c r="Q67" s="104">
        <f t="shared" si="1"/>
        <v>1326.51</v>
      </c>
      <c r="R67" s="129">
        <f t="shared" si="4"/>
        <v>-1513.54791</v>
      </c>
    </row>
    <row r="68" spans="1:19" ht="15" x14ac:dyDescent="0.25">
      <c r="A68" s="141" t="s">
        <v>148</v>
      </c>
      <c r="B68" s="141" t="s">
        <v>298</v>
      </c>
      <c r="C68" s="141" t="s">
        <v>156</v>
      </c>
      <c r="D68" s="142" t="s">
        <v>241</v>
      </c>
      <c r="E68" s="158" t="s">
        <v>360</v>
      </c>
      <c r="F68" s="142" t="s">
        <v>142</v>
      </c>
      <c r="G68" s="144">
        <v>109901</v>
      </c>
      <c r="H68" s="141" t="s">
        <v>102</v>
      </c>
      <c r="I68" s="141" t="s">
        <v>247</v>
      </c>
      <c r="J68" s="159" t="s">
        <v>248</v>
      </c>
      <c r="K68" s="160">
        <v>0</v>
      </c>
      <c r="L68" s="141"/>
      <c r="M68" s="161">
        <v>728409.76</v>
      </c>
      <c r="N68" s="161">
        <v>729000</v>
      </c>
      <c r="O68" s="161">
        <v>18000</v>
      </c>
      <c r="P68" s="161">
        <v>747000</v>
      </c>
      <c r="Q68" s="104">
        <f t="shared" si="1"/>
        <v>-18590.239999999991</v>
      </c>
      <c r="R68" s="129"/>
    </row>
    <row r="69" spans="1:19" ht="15" x14ac:dyDescent="0.25">
      <c r="A69" s="141" t="s">
        <v>148</v>
      </c>
      <c r="B69" s="141" t="s">
        <v>298</v>
      </c>
      <c r="C69" s="141" t="s">
        <v>156</v>
      </c>
      <c r="D69" s="142" t="s">
        <v>241</v>
      </c>
      <c r="E69" s="158" t="s">
        <v>360</v>
      </c>
      <c r="F69" s="142" t="s">
        <v>142</v>
      </c>
      <c r="G69" s="144">
        <v>109901</v>
      </c>
      <c r="H69" s="141" t="s">
        <v>102</v>
      </c>
      <c r="I69" s="141" t="s">
        <v>247</v>
      </c>
      <c r="J69" s="159" t="s">
        <v>297</v>
      </c>
      <c r="K69" s="160">
        <v>0</v>
      </c>
      <c r="L69" s="141"/>
      <c r="M69" s="161">
        <v>2736.93</v>
      </c>
      <c r="N69" s="161">
        <v>0</v>
      </c>
      <c r="O69" s="161">
        <v>0</v>
      </c>
      <c r="P69" s="161">
        <v>0</v>
      </c>
      <c r="Q69" s="104">
        <f t="shared" si="1"/>
        <v>2736.93</v>
      </c>
      <c r="R69" s="129"/>
    </row>
    <row r="70" spans="1:19" ht="15" x14ac:dyDescent="0.25">
      <c r="A70" s="141" t="s">
        <v>148</v>
      </c>
      <c r="B70" s="141" t="s">
        <v>298</v>
      </c>
      <c r="C70" s="141" t="s">
        <v>156</v>
      </c>
      <c r="D70" s="142" t="s">
        <v>241</v>
      </c>
      <c r="E70" s="158" t="s">
        <v>360</v>
      </c>
      <c r="F70" s="142" t="s">
        <v>142</v>
      </c>
      <c r="G70" s="144">
        <v>109901</v>
      </c>
      <c r="H70" s="141" t="s">
        <v>102</v>
      </c>
      <c r="I70" s="141" t="s">
        <v>247</v>
      </c>
      <c r="J70" s="159" t="s">
        <v>286</v>
      </c>
      <c r="K70" s="160">
        <v>0</v>
      </c>
      <c r="L70" s="141"/>
      <c r="M70" s="161">
        <v>2310.4899999999998</v>
      </c>
      <c r="N70" s="161">
        <v>0</v>
      </c>
      <c r="O70" s="161">
        <v>0</v>
      </c>
      <c r="P70" s="161">
        <v>0</v>
      </c>
      <c r="Q70" s="104">
        <f t="shared" si="1"/>
        <v>2310.4899999999998</v>
      </c>
      <c r="R70" s="129"/>
    </row>
    <row r="71" spans="1:19" ht="15" x14ac:dyDescent="0.25">
      <c r="A71" s="141" t="s">
        <v>148</v>
      </c>
      <c r="B71" s="141" t="s">
        <v>299</v>
      </c>
      <c r="C71" s="141" t="s">
        <v>70</v>
      </c>
      <c r="D71" s="142" t="s">
        <v>241</v>
      </c>
      <c r="E71" s="158" t="s">
        <v>360</v>
      </c>
      <c r="F71" s="142" t="s">
        <v>142</v>
      </c>
      <c r="G71" s="141">
        <v>101001</v>
      </c>
      <c r="H71" s="141" t="s">
        <v>104</v>
      </c>
      <c r="I71" s="141" t="s">
        <v>247</v>
      </c>
      <c r="J71" s="159" t="s">
        <v>248</v>
      </c>
      <c r="K71" s="160">
        <v>0</v>
      </c>
      <c r="L71" s="141"/>
      <c r="M71" s="161">
        <v>4561512.49</v>
      </c>
      <c r="N71" s="161">
        <v>4586000</v>
      </c>
      <c r="O71" s="161">
        <v>195000</v>
      </c>
      <c r="P71" s="161">
        <v>4781000</v>
      </c>
      <c r="Q71" s="104">
        <f t="shared" si="1"/>
        <v>-219487.50999999978</v>
      </c>
      <c r="R71" s="129"/>
      <c r="S71" s="66">
        <f t="shared" si="2"/>
        <v>520468.57510900008</v>
      </c>
    </row>
    <row r="72" spans="1:19" ht="15" x14ac:dyDescent="0.25">
      <c r="A72" s="141" t="s">
        <v>148</v>
      </c>
      <c r="B72" s="141" t="s">
        <v>299</v>
      </c>
      <c r="C72" s="141" t="s">
        <v>70</v>
      </c>
      <c r="D72" s="142" t="s">
        <v>241</v>
      </c>
      <c r="E72" s="158" t="s">
        <v>360</v>
      </c>
      <c r="F72" s="142" t="s">
        <v>142</v>
      </c>
      <c r="G72" s="141">
        <v>101002</v>
      </c>
      <c r="H72" s="141" t="s">
        <v>105</v>
      </c>
      <c r="I72" s="141" t="s">
        <v>247</v>
      </c>
      <c r="J72" s="159" t="s">
        <v>248</v>
      </c>
      <c r="K72" s="160">
        <v>0</v>
      </c>
      <c r="L72" s="141"/>
      <c r="M72" s="161">
        <v>48105.63</v>
      </c>
      <c r="N72" s="161">
        <v>0</v>
      </c>
      <c r="O72" s="161">
        <v>0</v>
      </c>
      <c r="P72" s="161">
        <v>0</v>
      </c>
      <c r="Q72" s="104">
        <f t="shared" ref="Q72:Q135" si="5">M72-P72</f>
        <v>48105.63</v>
      </c>
      <c r="R72" s="104"/>
      <c r="S72" s="66">
        <f t="shared" si="2"/>
        <v>5488.8523830000004</v>
      </c>
    </row>
    <row r="73" spans="1:19" ht="15" x14ac:dyDescent="0.25">
      <c r="A73" s="141" t="s">
        <v>148</v>
      </c>
      <c r="B73" s="141" t="s">
        <v>299</v>
      </c>
      <c r="C73" s="141" t="s">
        <v>70</v>
      </c>
      <c r="D73" s="142" t="s">
        <v>241</v>
      </c>
      <c r="E73" s="158" t="s">
        <v>360</v>
      </c>
      <c r="F73" s="142" t="s">
        <v>142</v>
      </c>
      <c r="G73" s="141">
        <v>101039</v>
      </c>
      <c r="H73" s="141" t="s">
        <v>107</v>
      </c>
      <c r="I73" s="141" t="s">
        <v>247</v>
      </c>
      <c r="J73" s="159" t="s">
        <v>248</v>
      </c>
      <c r="K73" s="160">
        <v>0</v>
      </c>
      <c r="L73" s="141"/>
      <c r="M73" s="161">
        <v>110848.34</v>
      </c>
      <c r="N73" s="161">
        <v>4000</v>
      </c>
      <c r="O73" s="161">
        <v>0</v>
      </c>
      <c r="P73" s="161">
        <v>4000</v>
      </c>
      <c r="Q73" s="104">
        <f t="shared" si="5"/>
        <v>106848.34</v>
      </c>
      <c r="R73" s="104"/>
      <c r="S73" s="66">
        <f t="shared" ref="S73:S136" si="6">M73*$S$7*1.141</f>
        <v>12647.795594000001</v>
      </c>
    </row>
    <row r="74" spans="1:19" ht="15" x14ac:dyDescent="0.25">
      <c r="A74" s="141" t="s">
        <v>148</v>
      </c>
      <c r="B74" s="141" t="s">
        <v>299</v>
      </c>
      <c r="C74" s="141" t="s">
        <v>70</v>
      </c>
      <c r="D74" s="142" t="s">
        <v>241</v>
      </c>
      <c r="E74" s="158" t="s">
        <v>360</v>
      </c>
      <c r="F74" s="142" t="s">
        <v>142</v>
      </c>
      <c r="G74" s="141">
        <v>101039</v>
      </c>
      <c r="H74" s="141" t="s">
        <v>107</v>
      </c>
      <c r="I74" s="141" t="s">
        <v>247</v>
      </c>
      <c r="J74" s="159" t="s">
        <v>364</v>
      </c>
      <c r="K74" s="160">
        <v>0</v>
      </c>
      <c r="L74" s="141"/>
      <c r="M74" s="161">
        <v>14933.3</v>
      </c>
      <c r="N74" s="161">
        <v>0</v>
      </c>
      <c r="O74" s="161">
        <v>19000</v>
      </c>
      <c r="P74" s="161">
        <v>19000</v>
      </c>
      <c r="Q74" s="104">
        <f t="shared" si="5"/>
        <v>-4066.7000000000007</v>
      </c>
      <c r="R74" s="104"/>
      <c r="S74" s="66">
        <f t="shared" si="6"/>
        <v>1703.8895299999999</v>
      </c>
    </row>
    <row r="75" spans="1:19" ht="15" x14ac:dyDescent="0.25">
      <c r="A75" s="141" t="s">
        <v>148</v>
      </c>
      <c r="B75" s="141" t="s">
        <v>299</v>
      </c>
      <c r="C75" s="141" t="s">
        <v>70</v>
      </c>
      <c r="D75" s="142" t="s">
        <v>241</v>
      </c>
      <c r="E75" s="158" t="s">
        <v>360</v>
      </c>
      <c r="F75" s="142" t="s">
        <v>142</v>
      </c>
      <c r="G75" s="141">
        <v>102002</v>
      </c>
      <c r="H75" s="141" t="s">
        <v>108</v>
      </c>
      <c r="I75" s="141" t="s">
        <v>247</v>
      </c>
      <c r="J75" s="159" t="s">
        <v>248</v>
      </c>
      <c r="K75" s="160">
        <v>0</v>
      </c>
      <c r="L75" s="141"/>
      <c r="M75" s="161">
        <v>18461.93</v>
      </c>
      <c r="N75" s="161">
        <v>0</v>
      </c>
      <c r="O75" s="161">
        <v>0</v>
      </c>
      <c r="P75" s="161">
        <v>0</v>
      </c>
      <c r="Q75" s="104">
        <f t="shared" si="5"/>
        <v>18461.93</v>
      </c>
      <c r="R75" s="104"/>
      <c r="S75" s="66">
        <f t="shared" si="6"/>
        <v>2106.5062130000001</v>
      </c>
    </row>
    <row r="76" spans="1:19" ht="15" x14ac:dyDescent="0.25">
      <c r="A76" s="141" t="s">
        <v>148</v>
      </c>
      <c r="B76" s="141" t="s">
        <v>299</v>
      </c>
      <c r="C76" s="141" t="s">
        <v>70</v>
      </c>
      <c r="D76" s="142" t="s">
        <v>241</v>
      </c>
      <c r="E76" s="158" t="s">
        <v>360</v>
      </c>
      <c r="F76" s="142" t="s">
        <v>142</v>
      </c>
      <c r="G76" s="141">
        <v>102002</v>
      </c>
      <c r="H76" s="141" t="s">
        <v>108</v>
      </c>
      <c r="I76" s="141" t="s">
        <v>247</v>
      </c>
      <c r="J76" s="159" t="s">
        <v>297</v>
      </c>
      <c r="K76" s="160">
        <v>0</v>
      </c>
      <c r="L76" s="141"/>
      <c r="M76" s="161">
        <v>14589.97</v>
      </c>
      <c r="N76" s="161">
        <v>0</v>
      </c>
      <c r="O76" s="161">
        <v>0</v>
      </c>
      <c r="P76" s="161">
        <v>0</v>
      </c>
      <c r="Q76" s="104">
        <f t="shared" si="5"/>
        <v>14589.97</v>
      </c>
      <c r="R76" s="104"/>
      <c r="S76" s="66">
        <f t="shared" si="6"/>
        <v>1664.7155770000002</v>
      </c>
    </row>
    <row r="77" spans="1:19" ht="15" x14ac:dyDescent="0.25">
      <c r="A77" s="141" t="s">
        <v>148</v>
      </c>
      <c r="B77" s="141" t="s">
        <v>299</v>
      </c>
      <c r="C77" s="141" t="s">
        <v>70</v>
      </c>
      <c r="D77" s="142" t="s">
        <v>241</v>
      </c>
      <c r="E77" s="158" t="s">
        <v>360</v>
      </c>
      <c r="F77" s="142" t="s">
        <v>142</v>
      </c>
      <c r="G77" s="141">
        <v>102002</v>
      </c>
      <c r="H77" s="141" t="s">
        <v>108</v>
      </c>
      <c r="I77" s="141" t="s">
        <v>247</v>
      </c>
      <c r="J77" s="159" t="s">
        <v>365</v>
      </c>
      <c r="K77" s="160">
        <v>0</v>
      </c>
      <c r="L77" s="141"/>
      <c r="M77" s="161">
        <v>20782</v>
      </c>
      <c r="N77" s="161">
        <v>0</v>
      </c>
      <c r="O77" s="161">
        <v>0</v>
      </c>
      <c r="P77" s="161">
        <v>0</v>
      </c>
      <c r="Q77" s="104">
        <f t="shared" si="5"/>
        <v>20782</v>
      </c>
      <c r="R77" s="104"/>
      <c r="S77" s="66">
        <f t="shared" si="6"/>
        <v>2371.2262000000005</v>
      </c>
    </row>
    <row r="78" spans="1:19" ht="15" x14ac:dyDescent="0.25">
      <c r="A78" s="141" t="s">
        <v>148</v>
      </c>
      <c r="B78" s="141" t="s">
        <v>299</v>
      </c>
      <c r="C78" s="141" t="s">
        <v>70</v>
      </c>
      <c r="D78" s="142" t="s">
        <v>241</v>
      </c>
      <c r="E78" s="158" t="s">
        <v>360</v>
      </c>
      <c r="F78" s="142" t="s">
        <v>142</v>
      </c>
      <c r="G78" s="141">
        <v>102003</v>
      </c>
      <c r="H78" s="141" t="s">
        <v>106</v>
      </c>
      <c r="I78" s="141" t="s">
        <v>247</v>
      </c>
      <c r="J78" s="159" t="s">
        <v>248</v>
      </c>
      <c r="K78" s="160">
        <v>0</v>
      </c>
      <c r="L78" s="141"/>
      <c r="M78" s="161">
        <v>83246.539999999994</v>
      </c>
      <c r="N78" s="161">
        <v>96000</v>
      </c>
      <c r="O78" s="161">
        <v>43000</v>
      </c>
      <c r="P78" s="161">
        <v>139000</v>
      </c>
      <c r="Q78" s="104">
        <f t="shared" si="5"/>
        <v>-55753.460000000006</v>
      </c>
      <c r="R78" s="104"/>
      <c r="S78" s="66">
        <f t="shared" si="6"/>
        <v>9498.430214</v>
      </c>
    </row>
    <row r="79" spans="1:19" ht="15" x14ac:dyDescent="0.25">
      <c r="A79" s="141" t="s">
        <v>148</v>
      </c>
      <c r="B79" s="141" t="s">
        <v>299</v>
      </c>
      <c r="C79" s="141" t="s">
        <v>70</v>
      </c>
      <c r="D79" s="142" t="s">
        <v>241</v>
      </c>
      <c r="E79" s="158" t="s">
        <v>360</v>
      </c>
      <c r="F79" s="142" t="s">
        <v>142</v>
      </c>
      <c r="G79" s="141">
        <v>102003</v>
      </c>
      <c r="H79" s="141" t="s">
        <v>106</v>
      </c>
      <c r="I79" s="141" t="s">
        <v>247</v>
      </c>
      <c r="J79" s="159" t="s">
        <v>363</v>
      </c>
      <c r="K79" s="160">
        <v>0</v>
      </c>
      <c r="L79" s="141"/>
      <c r="M79" s="161">
        <v>8152.7</v>
      </c>
      <c r="N79" s="161">
        <v>0</v>
      </c>
      <c r="O79" s="161">
        <v>0</v>
      </c>
      <c r="P79" s="161">
        <v>0</v>
      </c>
      <c r="Q79" s="104">
        <f t="shared" si="5"/>
        <v>8152.7</v>
      </c>
      <c r="R79" s="104"/>
      <c r="S79" s="66">
        <f t="shared" si="6"/>
        <v>930.22307000000001</v>
      </c>
    </row>
    <row r="80" spans="1:19" ht="15" x14ac:dyDescent="0.25">
      <c r="A80" s="141" t="s">
        <v>148</v>
      </c>
      <c r="B80" s="141" t="s">
        <v>299</v>
      </c>
      <c r="C80" s="141" t="s">
        <v>70</v>
      </c>
      <c r="D80" s="142" t="s">
        <v>241</v>
      </c>
      <c r="E80" s="158" t="s">
        <v>360</v>
      </c>
      <c r="F80" s="142" t="s">
        <v>142</v>
      </c>
      <c r="G80" s="141">
        <v>102005</v>
      </c>
      <c r="H80" s="141" t="s">
        <v>112</v>
      </c>
      <c r="I80" s="141" t="s">
        <v>247</v>
      </c>
      <c r="J80" s="159" t="s">
        <v>248</v>
      </c>
      <c r="K80" s="160">
        <v>0</v>
      </c>
      <c r="L80" s="141"/>
      <c r="M80" s="161">
        <v>105023.84</v>
      </c>
      <c r="N80" s="161">
        <v>0</v>
      </c>
      <c r="O80" s="161">
        <v>0</v>
      </c>
      <c r="P80" s="161">
        <v>0</v>
      </c>
      <c r="Q80" s="104">
        <f t="shared" si="5"/>
        <v>105023.84</v>
      </c>
      <c r="R80" s="104"/>
      <c r="S80" s="66">
        <f t="shared" si="6"/>
        <v>11983.220144000001</v>
      </c>
    </row>
    <row r="81" spans="1:19" ht="15" x14ac:dyDescent="0.25">
      <c r="A81" s="141" t="s">
        <v>148</v>
      </c>
      <c r="B81" s="141" t="s">
        <v>299</v>
      </c>
      <c r="C81" s="141" t="s">
        <v>70</v>
      </c>
      <c r="D81" s="142" t="s">
        <v>241</v>
      </c>
      <c r="E81" s="158" t="s">
        <v>360</v>
      </c>
      <c r="F81" s="142" t="s">
        <v>142</v>
      </c>
      <c r="G81" s="141">
        <v>102005</v>
      </c>
      <c r="H81" s="141" t="s">
        <v>112</v>
      </c>
      <c r="I81" s="141" t="s">
        <v>247</v>
      </c>
      <c r="J81" s="159" t="s">
        <v>363</v>
      </c>
      <c r="K81" s="160">
        <v>0</v>
      </c>
      <c r="L81" s="141"/>
      <c r="M81" s="161">
        <v>15402.76</v>
      </c>
      <c r="N81" s="161">
        <v>0</v>
      </c>
      <c r="O81" s="161">
        <v>30000</v>
      </c>
      <c r="P81" s="161">
        <v>30000</v>
      </c>
      <c r="Q81" s="104">
        <f t="shared" si="5"/>
        <v>-14597.24</v>
      </c>
      <c r="R81" s="104"/>
      <c r="S81" s="66">
        <f t="shared" si="6"/>
        <v>1757.4549160000001</v>
      </c>
    </row>
    <row r="82" spans="1:19" ht="15" x14ac:dyDescent="0.25">
      <c r="A82" s="141" t="s">
        <v>148</v>
      </c>
      <c r="B82" s="141" t="s">
        <v>299</v>
      </c>
      <c r="C82" s="141" t="s">
        <v>70</v>
      </c>
      <c r="D82" s="142" t="s">
        <v>241</v>
      </c>
      <c r="E82" s="158" t="s">
        <v>360</v>
      </c>
      <c r="F82" s="142" t="s">
        <v>142</v>
      </c>
      <c r="G82" s="141">
        <v>102062</v>
      </c>
      <c r="H82" s="141" t="s">
        <v>113</v>
      </c>
      <c r="I82" s="141" t="s">
        <v>247</v>
      </c>
      <c r="J82" s="159" t="s">
        <v>248</v>
      </c>
      <c r="K82" s="160">
        <v>0</v>
      </c>
      <c r="L82" s="141"/>
      <c r="M82" s="161">
        <v>3033.39</v>
      </c>
      <c r="N82" s="161">
        <v>0</v>
      </c>
      <c r="O82" s="161">
        <v>0</v>
      </c>
      <c r="P82" s="161">
        <v>0</v>
      </c>
      <c r="Q82" s="104">
        <f t="shared" si="5"/>
        <v>3033.39</v>
      </c>
      <c r="R82" s="104"/>
      <c r="S82" s="66">
        <f t="shared" si="6"/>
        <v>346.10979900000001</v>
      </c>
    </row>
    <row r="83" spans="1:19" ht="15" x14ac:dyDescent="0.25">
      <c r="A83" s="141" t="s">
        <v>148</v>
      </c>
      <c r="B83" s="141" t="s">
        <v>299</v>
      </c>
      <c r="C83" s="141" t="s">
        <v>70</v>
      </c>
      <c r="D83" s="142" t="s">
        <v>241</v>
      </c>
      <c r="E83" s="158" t="s">
        <v>360</v>
      </c>
      <c r="F83" s="142" t="s">
        <v>142</v>
      </c>
      <c r="G83" s="141">
        <v>103001</v>
      </c>
      <c r="H83" s="141" t="s">
        <v>109</v>
      </c>
      <c r="I83" s="141" t="s">
        <v>247</v>
      </c>
      <c r="J83" s="159" t="s">
        <v>248</v>
      </c>
      <c r="K83" s="160">
        <v>0</v>
      </c>
      <c r="L83" s="141"/>
      <c r="M83" s="161">
        <v>81629.91</v>
      </c>
      <c r="N83" s="161">
        <v>0</v>
      </c>
      <c r="O83" s="161">
        <v>0</v>
      </c>
      <c r="P83" s="161">
        <v>0</v>
      </c>
      <c r="Q83" s="104">
        <f t="shared" si="5"/>
        <v>81629.91</v>
      </c>
      <c r="R83" s="104"/>
      <c r="S83" s="66">
        <f t="shared" si="6"/>
        <v>9313.9727310000017</v>
      </c>
    </row>
    <row r="84" spans="1:19" ht="15" x14ac:dyDescent="0.25">
      <c r="A84" s="141" t="s">
        <v>148</v>
      </c>
      <c r="B84" s="141" t="s">
        <v>299</v>
      </c>
      <c r="C84" s="141" t="s">
        <v>70</v>
      </c>
      <c r="D84" s="142" t="s">
        <v>241</v>
      </c>
      <c r="E84" s="158" t="s">
        <v>360</v>
      </c>
      <c r="F84" s="142" t="s">
        <v>142</v>
      </c>
      <c r="G84" s="141">
        <v>103001</v>
      </c>
      <c r="H84" s="141" t="s">
        <v>109</v>
      </c>
      <c r="I84" s="141" t="s">
        <v>247</v>
      </c>
      <c r="J84" s="159" t="s">
        <v>365</v>
      </c>
      <c r="K84" s="160">
        <v>0</v>
      </c>
      <c r="L84" s="141"/>
      <c r="M84" s="161">
        <v>18272.38</v>
      </c>
      <c r="N84" s="161">
        <v>0</v>
      </c>
      <c r="O84" s="161">
        <v>0</v>
      </c>
      <c r="P84" s="161">
        <v>0</v>
      </c>
      <c r="Q84" s="104">
        <f t="shared" si="5"/>
        <v>18272.38</v>
      </c>
      <c r="R84" s="104"/>
      <c r="S84" s="66">
        <f t="shared" si="6"/>
        <v>2084.8785580000003</v>
      </c>
    </row>
    <row r="85" spans="1:19" ht="15" x14ac:dyDescent="0.25">
      <c r="A85" s="141" t="s">
        <v>148</v>
      </c>
      <c r="B85" s="141" t="s">
        <v>299</v>
      </c>
      <c r="C85" s="141" t="s">
        <v>70</v>
      </c>
      <c r="D85" s="142" t="s">
        <v>241</v>
      </c>
      <c r="E85" s="158" t="s">
        <v>360</v>
      </c>
      <c r="F85" s="142" t="s">
        <v>142</v>
      </c>
      <c r="G85" s="141">
        <v>103062</v>
      </c>
      <c r="H85" s="141" t="s">
        <v>114</v>
      </c>
      <c r="I85" s="141" t="s">
        <v>247</v>
      </c>
      <c r="J85" s="159" t="s">
        <v>248</v>
      </c>
      <c r="K85" s="160">
        <v>0</v>
      </c>
      <c r="L85" s="141"/>
      <c r="M85" s="161">
        <v>1397.76</v>
      </c>
      <c r="N85" s="161">
        <v>0</v>
      </c>
      <c r="O85" s="161">
        <v>0</v>
      </c>
      <c r="P85" s="161">
        <v>0</v>
      </c>
      <c r="Q85" s="104">
        <f t="shared" si="5"/>
        <v>1397.76</v>
      </c>
      <c r="R85" s="104"/>
      <c r="S85" s="66">
        <f t="shared" si="6"/>
        <v>159.48441600000001</v>
      </c>
    </row>
    <row r="86" spans="1:19" ht="15" x14ac:dyDescent="0.25">
      <c r="A86" s="141" t="s">
        <v>148</v>
      </c>
      <c r="B86" s="141" t="s">
        <v>299</v>
      </c>
      <c r="C86" s="141" t="s">
        <v>70</v>
      </c>
      <c r="D86" s="142" t="s">
        <v>241</v>
      </c>
      <c r="E86" s="158" t="s">
        <v>360</v>
      </c>
      <c r="F86" s="142" t="s">
        <v>142</v>
      </c>
      <c r="G86" s="141">
        <v>103069</v>
      </c>
      <c r="H86" s="141" t="s">
        <v>214</v>
      </c>
      <c r="I86" s="141" t="s">
        <v>247</v>
      </c>
      <c r="J86" s="159" t="s">
        <v>248</v>
      </c>
      <c r="K86" s="160">
        <v>0</v>
      </c>
      <c r="L86" s="141"/>
      <c r="M86" s="161">
        <v>9382.74</v>
      </c>
      <c r="N86" s="161">
        <v>0</v>
      </c>
      <c r="O86" s="161">
        <v>0</v>
      </c>
      <c r="P86" s="161">
        <v>0</v>
      </c>
      <c r="Q86" s="104">
        <f t="shared" si="5"/>
        <v>9382.74</v>
      </c>
      <c r="R86" s="104"/>
      <c r="S86" s="66">
        <f t="shared" si="6"/>
        <v>1070.5706339999999</v>
      </c>
    </row>
    <row r="87" spans="1:19" ht="15" x14ac:dyDescent="0.25">
      <c r="A87" s="141" t="s">
        <v>148</v>
      </c>
      <c r="B87" s="141" t="s">
        <v>299</v>
      </c>
      <c r="C87" s="141" t="s">
        <v>70</v>
      </c>
      <c r="D87" s="142" t="s">
        <v>241</v>
      </c>
      <c r="E87" s="158" t="s">
        <v>360</v>
      </c>
      <c r="F87" s="142" t="s">
        <v>142</v>
      </c>
      <c r="G87" s="141">
        <v>104000</v>
      </c>
      <c r="H87" s="141" t="s">
        <v>110</v>
      </c>
      <c r="I87" s="141" t="s">
        <v>247</v>
      </c>
      <c r="J87" s="159" t="s">
        <v>248</v>
      </c>
      <c r="K87" s="160">
        <v>0</v>
      </c>
      <c r="L87" s="141"/>
      <c r="M87" s="161">
        <v>29620.79</v>
      </c>
      <c r="N87" s="161">
        <v>40000</v>
      </c>
      <c r="O87" s="161">
        <v>1000</v>
      </c>
      <c r="P87" s="161">
        <v>41000</v>
      </c>
      <c r="Q87" s="104">
        <f t="shared" si="5"/>
        <v>-11379.21</v>
      </c>
      <c r="R87" s="104"/>
      <c r="S87" s="66">
        <f t="shared" si="6"/>
        <v>3379.7321390000002</v>
      </c>
    </row>
    <row r="88" spans="1:19" ht="15" x14ac:dyDescent="0.25">
      <c r="A88" s="141" t="s">
        <v>148</v>
      </c>
      <c r="B88" s="141" t="s">
        <v>299</v>
      </c>
      <c r="C88" s="141" t="s">
        <v>70</v>
      </c>
      <c r="D88" s="142" t="s">
        <v>241</v>
      </c>
      <c r="E88" s="158" t="s">
        <v>360</v>
      </c>
      <c r="F88" s="142" t="s">
        <v>142</v>
      </c>
      <c r="G88" s="141">
        <v>105003</v>
      </c>
      <c r="H88" s="141" t="s">
        <v>268</v>
      </c>
      <c r="I88" s="141" t="s">
        <v>247</v>
      </c>
      <c r="J88" s="159" t="s">
        <v>248</v>
      </c>
      <c r="K88" s="160">
        <v>0</v>
      </c>
      <c r="L88" s="141"/>
      <c r="M88" s="163">
        <v>367258.98</v>
      </c>
      <c r="N88" s="161">
        <v>0</v>
      </c>
      <c r="O88" s="161">
        <v>0</v>
      </c>
      <c r="P88" s="161">
        <v>0</v>
      </c>
      <c r="Q88" s="104">
        <f t="shared" si="5"/>
        <v>367258.98</v>
      </c>
      <c r="R88" s="104"/>
      <c r="S88" s="66">
        <f t="shared" si="6"/>
        <v>41904.249618000002</v>
      </c>
    </row>
    <row r="89" spans="1:19" ht="15" x14ac:dyDescent="0.25">
      <c r="A89" s="141" t="s">
        <v>148</v>
      </c>
      <c r="B89" s="141" t="s">
        <v>299</v>
      </c>
      <c r="C89" s="141" t="s">
        <v>70</v>
      </c>
      <c r="D89" s="142" t="s">
        <v>241</v>
      </c>
      <c r="E89" s="158" t="s">
        <v>360</v>
      </c>
      <c r="F89" s="142" t="s">
        <v>142</v>
      </c>
      <c r="G89" s="141">
        <v>105010</v>
      </c>
      <c r="H89" s="141" t="s">
        <v>118</v>
      </c>
      <c r="I89" s="141" t="s">
        <v>247</v>
      </c>
      <c r="J89" s="159" t="s">
        <v>248</v>
      </c>
      <c r="K89" s="160">
        <v>0</v>
      </c>
      <c r="L89" s="141"/>
      <c r="M89" s="161">
        <v>66.819999999999993</v>
      </c>
      <c r="N89" s="161">
        <v>0</v>
      </c>
      <c r="O89" s="161">
        <v>0</v>
      </c>
      <c r="P89" s="161">
        <v>0</v>
      </c>
      <c r="Q89" s="104">
        <f t="shared" si="5"/>
        <v>66.819999999999993</v>
      </c>
      <c r="R89" s="104"/>
      <c r="S89" s="66">
        <f t="shared" si="6"/>
        <v>7.6241619999999992</v>
      </c>
    </row>
    <row r="90" spans="1:19" ht="15" x14ac:dyDescent="0.25">
      <c r="A90" s="141" t="s">
        <v>148</v>
      </c>
      <c r="B90" s="141" t="s">
        <v>299</v>
      </c>
      <c r="C90" s="141" t="s">
        <v>70</v>
      </c>
      <c r="D90" s="142" t="s">
        <v>241</v>
      </c>
      <c r="E90" s="158" t="s">
        <v>360</v>
      </c>
      <c r="F90" s="142" t="s">
        <v>142</v>
      </c>
      <c r="G90" s="144">
        <v>109001</v>
      </c>
      <c r="H90" s="141" t="s">
        <v>101</v>
      </c>
      <c r="I90" s="141" t="s">
        <v>247</v>
      </c>
      <c r="J90" s="159" t="s">
        <v>248</v>
      </c>
      <c r="K90" s="160">
        <v>0</v>
      </c>
      <c r="L90" s="141"/>
      <c r="M90" s="161">
        <v>502541.87</v>
      </c>
      <c r="N90" s="161">
        <v>444000</v>
      </c>
      <c r="O90" s="161">
        <v>23000</v>
      </c>
      <c r="P90" s="161">
        <v>467000</v>
      </c>
      <c r="Q90" s="104">
        <f t="shared" si="5"/>
        <v>35541.869999999995</v>
      </c>
      <c r="R90" s="129">
        <f t="shared" ref="R90:R94" si="7">M90*-1.141</f>
        <v>-573400.27367000002</v>
      </c>
    </row>
    <row r="91" spans="1:19" ht="15" x14ac:dyDescent="0.25">
      <c r="A91" s="141" t="s">
        <v>148</v>
      </c>
      <c r="B91" s="141" t="s">
        <v>299</v>
      </c>
      <c r="C91" s="141" t="s">
        <v>70</v>
      </c>
      <c r="D91" s="142" t="s">
        <v>241</v>
      </c>
      <c r="E91" s="158" t="s">
        <v>360</v>
      </c>
      <c r="F91" s="142" t="s">
        <v>142</v>
      </c>
      <c r="G91" s="144">
        <v>109001</v>
      </c>
      <c r="H91" s="141" t="s">
        <v>101</v>
      </c>
      <c r="I91" s="141" t="s">
        <v>247</v>
      </c>
      <c r="J91" s="159" t="s">
        <v>297</v>
      </c>
      <c r="K91" s="160">
        <v>0</v>
      </c>
      <c r="L91" s="141"/>
      <c r="M91" s="161">
        <v>1386.37</v>
      </c>
      <c r="N91" s="161">
        <v>0</v>
      </c>
      <c r="O91" s="161">
        <v>0</v>
      </c>
      <c r="P91" s="161">
        <v>0</v>
      </c>
      <c r="Q91" s="104">
        <f t="shared" si="5"/>
        <v>1386.37</v>
      </c>
      <c r="R91" s="129">
        <f t="shared" si="7"/>
        <v>-1581.84817</v>
      </c>
    </row>
    <row r="92" spans="1:19" ht="15" x14ac:dyDescent="0.25">
      <c r="A92" s="141" t="s">
        <v>148</v>
      </c>
      <c r="B92" s="141" t="s">
        <v>299</v>
      </c>
      <c r="C92" s="141" t="s">
        <v>70</v>
      </c>
      <c r="D92" s="142" t="s">
        <v>241</v>
      </c>
      <c r="E92" s="158" t="s">
        <v>360</v>
      </c>
      <c r="F92" s="142" t="s">
        <v>142</v>
      </c>
      <c r="G92" s="144">
        <v>109001</v>
      </c>
      <c r="H92" s="141" t="s">
        <v>101</v>
      </c>
      <c r="I92" s="141" t="s">
        <v>247</v>
      </c>
      <c r="J92" s="159" t="s">
        <v>363</v>
      </c>
      <c r="K92" s="160">
        <v>0</v>
      </c>
      <c r="L92" s="141"/>
      <c r="M92" s="161">
        <v>2233.89</v>
      </c>
      <c r="N92" s="161">
        <v>0</v>
      </c>
      <c r="O92" s="161">
        <v>0</v>
      </c>
      <c r="P92" s="161">
        <v>0</v>
      </c>
      <c r="Q92" s="104">
        <f t="shared" si="5"/>
        <v>2233.89</v>
      </c>
      <c r="R92" s="129">
        <f t="shared" si="7"/>
        <v>-2548.8684899999998</v>
      </c>
    </row>
    <row r="93" spans="1:19" ht="15" x14ac:dyDescent="0.25">
      <c r="A93" s="141" t="s">
        <v>148</v>
      </c>
      <c r="B93" s="141" t="s">
        <v>299</v>
      </c>
      <c r="C93" s="141" t="s">
        <v>70</v>
      </c>
      <c r="D93" s="142" t="s">
        <v>241</v>
      </c>
      <c r="E93" s="158" t="s">
        <v>360</v>
      </c>
      <c r="F93" s="142" t="s">
        <v>142</v>
      </c>
      <c r="G93" s="144">
        <v>109001</v>
      </c>
      <c r="H93" s="141" t="s">
        <v>101</v>
      </c>
      <c r="I93" s="141" t="s">
        <v>247</v>
      </c>
      <c r="J93" s="159" t="s">
        <v>364</v>
      </c>
      <c r="K93" s="160">
        <v>0</v>
      </c>
      <c r="L93" s="141"/>
      <c r="M93" s="161">
        <v>1253.3</v>
      </c>
      <c r="N93" s="161">
        <v>0</v>
      </c>
      <c r="O93" s="161">
        <v>0</v>
      </c>
      <c r="P93" s="161">
        <v>0</v>
      </c>
      <c r="Q93" s="104">
        <f t="shared" si="5"/>
        <v>1253.3</v>
      </c>
      <c r="R93" s="129">
        <f t="shared" si="7"/>
        <v>-1430.0153</v>
      </c>
    </row>
    <row r="94" spans="1:19" ht="15" x14ac:dyDescent="0.25">
      <c r="A94" s="141" t="s">
        <v>148</v>
      </c>
      <c r="B94" s="141" t="s">
        <v>299</v>
      </c>
      <c r="C94" s="141" t="s">
        <v>70</v>
      </c>
      <c r="D94" s="142" t="s">
        <v>241</v>
      </c>
      <c r="E94" s="158" t="s">
        <v>360</v>
      </c>
      <c r="F94" s="142" t="s">
        <v>142</v>
      </c>
      <c r="G94" s="144">
        <v>109001</v>
      </c>
      <c r="H94" s="141" t="s">
        <v>101</v>
      </c>
      <c r="I94" s="141" t="s">
        <v>247</v>
      </c>
      <c r="J94" s="159" t="s">
        <v>365</v>
      </c>
      <c r="K94" s="160">
        <v>0</v>
      </c>
      <c r="L94" s="141"/>
      <c r="M94" s="161">
        <v>3686.95</v>
      </c>
      <c r="N94" s="161">
        <v>0</v>
      </c>
      <c r="O94" s="161">
        <v>0</v>
      </c>
      <c r="P94" s="161">
        <v>0</v>
      </c>
      <c r="Q94" s="104">
        <f t="shared" si="5"/>
        <v>3686.95</v>
      </c>
      <c r="R94" s="129">
        <f t="shared" si="7"/>
        <v>-4206.8099499999998</v>
      </c>
    </row>
    <row r="95" spans="1:19" ht="15" x14ac:dyDescent="0.25">
      <c r="A95" s="141" t="s">
        <v>148</v>
      </c>
      <c r="B95" s="141" t="s">
        <v>299</v>
      </c>
      <c r="C95" s="141" t="s">
        <v>70</v>
      </c>
      <c r="D95" s="142" t="s">
        <v>241</v>
      </c>
      <c r="E95" s="158" t="s">
        <v>360</v>
      </c>
      <c r="F95" s="142" t="s">
        <v>142</v>
      </c>
      <c r="G95" s="144">
        <v>109901</v>
      </c>
      <c r="H95" s="141" t="s">
        <v>102</v>
      </c>
      <c r="I95" s="141" t="s">
        <v>247</v>
      </c>
      <c r="J95" s="159" t="s">
        <v>248</v>
      </c>
      <c r="K95" s="160">
        <v>0</v>
      </c>
      <c r="L95" s="141"/>
      <c r="M95" s="161">
        <v>820025.66</v>
      </c>
      <c r="N95" s="161">
        <v>729000</v>
      </c>
      <c r="O95" s="161">
        <v>37000</v>
      </c>
      <c r="P95" s="161">
        <v>766000</v>
      </c>
      <c r="Q95" s="104">
        <f t="shared" si="5"/>
        <v>54025.660000000033</v>
      </c>
      <c r="R95" s="129"/>
    </row>
    <row r="96" spans="1:19" ht="15" x14ac:dyDescent="0.25">
      <c r="A96" s="141" t="s">
        <v>148</v>
      </c>
      <c r="B96" s="141" t="s">
        <v>299</v>
      </c>
      <c r="C96" s="141" t="s">
        <v>70</v>
      </c>
      <c r="D96" s="142" t="s">
        <v>241</v>
      </c>
      <c r="E96" s="158" t="s">
        <v>360</v>
      </c>
      <c r="F96" s="142" t="s">
        <v>142</v>
      </c>
      <c r="G96" s="144">
        <v>109901</v>
      </c>
      <c r="H96" s="141" t="s">
        <v>102</v>
      </c>
      <c r="I96" s="141" t="s">
        <v>247</v>
      </c>
      <c r="J96" s="159" t="s">
        <v>297</v>
      </c>
      <c r="K96" s="160">
        <v>0</v>
      </c>
      <c r="L96" s="141"/>
      <c r="M96" s="161">
        <v>2252.66</v>
      </c>
      <c r="N96" s="161">
        <v>0</v>
      </c>
      <c r="O96" s="161">
        <v>0</v>
      </c>
      <c r="P96" s="161">
        <v>0</v>
      </c>
      <c r="Q96" s="104">
        <f t="shared" si="5"/>
        <v>2252.66</v>
      </c>
      <c r="R96" s="129"/>
    </row>
    <row r="97" spans="1:19" ht="15" x14ac:dyDescent="0.25">
      <c r="A97" s="141" t="s">
        <v>148</v>
      </c>
      <c r="B97" s="141" t="s">
        <v>299</v>
      </c>
      <c r="C97" s="141" t="s">
        <v>70</v>
      </c>
      <c r="D97" s="142" t="s">
        <v>241</v>
      </c>
      <c r="E97" s="158" t="s">
        <v>360</v>
      </c>
      <c r="F97" s="142" t="s">
        <v>142</v>
      </c>
      <c r="G97" s="144">
        <v>109901</v>
      </c>
      <c r="H97" s="141" t="s">
        <v>102</v>
      </c>
      <c r="I97" s="141" t="s">
        <v>247</v>
      </c>
      <c r="J97" s="159" t="s">
        <v>363</v>
      </c>
      <c r="K97" s="160">
        <v>0</v>
      </c>
      <c r="L97" s="141"/>
      <c r="M97" s="161">
        <v>3636.31</v>
      </c>
      <c r="N97" s="161">
        <v>0</v>
      </c>
      <c r="O97" s="161">
        <v>0</v>
      </c>
      <c r="P97" s="161">
        <v>0</v>
      </c>
      <c r="Q97" s="104">
        <f t="shared" si="5"/>
        <v>3636.31</v>
      </c>
      <c r="R97" s="129"/>
    </row>
    <row r="98" spans="1:19" ht="15" x14ac:dyDescent="0.25">
      <c r="A98" s="141" t="s">
        <v>148</v>
      </c>
      <c r="B98" s="141" t="s">
        <v>299</v>
      </c>
      <c r="C98" s="141" t="s">
        <v>70</v>
      </c>
      <c r="D98" s="142" t="s">
        <v>241</v>
      </c>
      <c r="E98" s="158" t="s">
        <v>360</v>
      </c>
      <c r="F98" s="142" t="s">
        <v>142</v>
      </c>
      <c r="G98" s="144">
        <v>109901</v>
      </c>
      <c r="H98" s="141" t="s">
        <v>102</v>
      </c>
      <c r="I98" s="141" t="s">
        <v>247</v>
      </c>
      <c r="J98" s="159" t="s">
        <v>364</v>
      </c>
      <c r="K98" s="160">
        <v>0</v>
      </c>
      <c r="L98" s="141"/>
      <c r="M98" s="161">
        <v>2282.3000000000002</v>
      </c>
      <c r="N98" s="161">
        <v>0</v>
      </c>
      <c r="O98" s="161">
        <v>0</v>
      </c>
      <c r="P98" s="161">
        <v>0</v>
      </c>
      <c r="Q98" s="104">
        <f t="shared" si="5"/>
        <v>2282.3000000000002</v>
      </c>
      <c r="R98" s="129"/>
    </row>
    <row r="99" spans="1:19" ht="15" x14ac:dyDescent="0.25">
      <c r="A99" s="141" t="s">
        <v>148</v>
      </c>
      <c r="B99" s="141" t="s">
        <v>299</v>
      </c>
      <c r="C99" s="141" t="s">
        <v>70</v>
      </c>
      <c r="D99" s="142" t="s">
        <v>241</v>
      </c>
      <c r="E99" s="158" t="s">
        <v>360</v>
      </c>
      <c r="F99" s="142" t="s">
        <v>142</v>
      </c>
      <c r="G99" s="144">
        <v>109901</v>
      </c>
      <c r="H99" s="141" t="s">
        <v>102</v>
      </c>
      <c r="I99" s="141" t="s">
        <v>247</v>
      </c>
      <c r="J99" s="159" t="s">
        <v>365</v>
      </c>
      <c r="K99" s="160">
        <v>0</v>
      </c>
      <c r="L99" s="141"/>
      <c r="M99" s="161">
        <v>6026.53</v>
      </c>
      <c r="N99" s="161">
        <v>0</v>
      </c>
      <c r="O99" s="161">
        <v>0</v>
      </c>
      <c r="P99" s="161">
        <v>0</v>
      </c>
      <c r="Q99" s="104">
        <f t="shared" si="5"/>
        <v>6026.53</v>
      </c>
      <c r="R99" s="129"/>
    </row>
    <row r="100" spans="1:19" ht="15" x14ac:dyDescent="0.25">
      <c r="A100" s="141" t="s">
        <v>148</v>
      </c>
      <c r="B100" s="141" t="s">
        <v>300</v>
      </c>
      <c r="C100" s="141" t="s">
        <v>157</v>
      </c>
      <c r="D100" s="142" t="s">
        <v>241</v>
      </c>
      <c r="E100" s="158" t="s">
        <v>360</v>
      </c>
      <c r="F100" s="142" t="s">
        <v>142</v>
      </c>
      <c r="G100" s="141">
        <v>101001</v>
      </c>
      <c r="H100" s="141" t="s">
        <v>104</v>
      </c>
      <c r="I100" s="141" t="s">
        <v>247</v>
      </c>
      <c r="J100" s="159" t="s">
        <v>248</v>
      </c>
      <c r="K100" s="160">
        <v>0</v>
      </c>
      <c r="L100" s="141"/>
      <c r="M100" s="161">
        <v>5290894.63</v>
      </c>
      <c r="N100" s="161">
        <v>4780000</v>
      </c>
      <c r="O100" s="161">
        <v>667000</v>
      </c>
      <c r="P100" s="161">
        <v>5447000</v>
      </c>
      <c r="Q100" s="104">
        <f t="shared" si="5"/>
        <v>-156105.37000000011</v>
      </c>
      <c r="R100" s="129"/>
      <c r="S100" s="66">
        <f t="shared" si="6"/>
        <v>603691.07728299999</v>
      </c>
    </row>
    <row r="101" spans="1:19" ht="15" x14ac:dyDescent="0.25">
      <c r="A101" s="141" t="s">
        <v>148</v>
      </c>
      <c r="B101" s="141" t="s">
        <v>300</v>
      </c>
      <c r="C101" s="141" t="s">
        <v>157</v>
      </c>
      <c r="D101" s="142" t="s">
        <v>241</v>
      </c>
      <c r="E101" s="158" t="s">
        <v>360</v>
      </c>
      <c r="F101" s="142" t="s">
        <v>142</v>
      </c>
      <c r="G101" s="141">
        <v>101002</v>
      </c>
      <c r="H101" s="141" t="s">
        <v>105</v>
      </c>
      <c r="I101" s="141" t="s">
        <v>247</v>
      </c>
      <c r="J101" s="159" t="s">
        <v>248</v>
      </c>
      <c r="K101" s="160">
        <v>0</v>
      </c>
      <c r="L101" s="141"/>
      <c r="M101" s="161">
        <v>35545.29</v>
      </c>
      <c r="N101" s="161">
        <v>0</v>
      </c>
      <c r="O101" s="161">
        <v>0</v>
      </c>
      <c r="P101" s="161">
        <v>0</v>
      </c>
      <c r="Q101" s="104">
        <f t="shared" si="5"/>
        <v>35545.29</v>
      </c>
      <c r="R101" s="104"/>
      <c r="S101" s="66">
        <f t="shared" si="6"/>
        <v>4055.7175890000008</v>
      </c>
    </row>
    <row r="102" spans="1:19" ht="15" x14ac:dyDescent="0.25">
      <c r="A102" s="141" t="s">
        <v>148</v>
      </c>
      <c r="B102" s="141" t="s">
        <v>300</v>
      </c>
      <c r="C102" s="141" t="s">
        <v>157</v>
      </c>
      <c r="D102" s="142" t="s">
        <v>241</v>
      </c>
      <c r="E102" s="158" t="s">
        <v>360</v>
      </c>
      <c r="F102" s="142" t="s">
        <v>142</v>
      </c>
      <c r="G102" s="141">
        <v>101002</v>
      </c>
      <c r="H102" s="141" t="s">
        <v>105</v>
      </c>
      <c r="I102" s="141" t="s">
        <v>247</v>
      </c>
      <c r="J102" s="159" t="s">
        <v>286</v>
      </c>
      <c r="K102" s="160">
        <v>0</v>
      </c>
      <c r="L102" s="141"/>
      <c r="M102" s="161">
        <v>12426.24</v>
      </c>
      <c r="N102" s="161">
        <v>0</v>
      </c>
      <c r="O102" s="161">
        <v>0</v>
      </c>
      <c r="P102" s="161">
        <v>0</v>
      </c>
      <c r="Q102" s="104">
        <f t="shared" si="5"/>
        <v>12426.24</v>
      </c>
      <c r="R102" s="104"/>
      <c r="S102" s="66">
        <f t="shared" si="6"/>
        <v>1417.8339840000001</v>
      </c>
    </row>
    <row r="103" spans="1:19" ht="15" x14ac:dyDescent="0.25">
      <c r="A103" s="141" t="s">
        <v>148</v>
      </c>
      <c r="B103" s="141" t="s">
        <v>300</v>
      </c>
      <c r="C103" s="141" t="s">
        <v>157</v>
      </c>
      <c r="D103" s="142" t="s">
        <v>241</v>
      </c>
      <c r="E103" s="158" t="s">
        <v>360</v>
      </c>
      <c r="F103" s="142" t="s">
        <v>142</v>
      </c>
      <c r="G103" s="141">
        <v>101039</v>
      </c>
      <c r="H103" s="141" t="s">
        <v>107</v>
      </c>
      <c r="I103" s="141" t="s">
        <v>247</v>
      </c>
      <c r="J103" s="159" t="s">
        <v>248</v>
      </c>
      <c r="K103" s="160">
        <v>0</v>
      </c>
      <c r="L103" s="141"/>
      <c r="M103" s="161">
        <v>176835.43</v>
      </c>
      <c r="N103" s="161">
        <v>0</v>
      </c>
      <c r="O103" s="161">
        <v>0</v>
      </c>
      <c r="P103" s="161">
        <v>0</v>
      </c>
      <c r="Q103" s="104">
        <f t="shared" si="5"/>
        <v>176835.43</v>
      </c>
      <c r="R103" s="104"/>
      <c r="S103" s="66">
        <f t="shared" si="6"/>
        <v>20176.922563000004</v>
      </c>
    </row>
    <row r="104" spans="1:19" ht="15" x14ac:dyDescent="0.25">
      <c r="A104" s="141" t="s">
        <v>148</v>
      </c>
      <c r="B104" s="141" t="s">
        <v>300</v>
      </c>
      <c r="C104" s="141" t="s">
        <v>157</v>
      </c>
      <c r="D104" s="142" t="s">
        <v>241</v>
      </c>
      <c r="E104" s="158" t="s">
        <v>360</v>
      </c>
      <c r="F104" s="142" t="s">
        <v>142</v>
      </c>
      <c r="G104" s="141">
        <v>101039</v>
      </c>
      <c r="H104" s="141" t="s">
        <v>107</v>
      </c>
      <c r="I104" s="141" t="s">
        <v>247</v>
      </c>
      <c r="J104" s="159" t="s">
        <v>364</v>
      </c>
      <c r="K104" s="160">
        <v>0</v>
      </c>
      <c r="L104" s="141"/>
      <c r="M104" s="161">
        <v>14933.3</v>
      </c>
      <c r="N104" s="161">
        <v>0</v>
      </c>
      <c r="O104" s="161">
        <v>19000</v>
      </c>
      <c r="P104" s="161">
        <v>19000</v>
      </c>
      <c r="Q104" s="104">
        <f t="shared" si="5"/>
        <v>-4066.7000000000007</v>
      </c>
      <c r="R104" s="104"/>
      <c r="S104" s="66">
        <f t="shared" si="6"/>
        <v>1703.8895299999999</v>
      </c>
    </row>
    <row r="105" spans="1:19" ht="15" x14ac:dyDescent="0.25">
      <c r="A105" s="141" t="s">
        <v>148</v>
      </c>
      <c r="B105" s="141" t="s">
        <v>300</v>
      </c>
      <c r="C105" s="141" t="s">
        <v>157</v>
      </c>
      <c r="D105" s="142" t="s">
        <v>241</v>
      </c>
      <c r="E105" s="158" t="s">
        <v>360</v>
      </c>
      <c r="F105" s="142" t="s">
        <v>142</v>
      </c>
      <c r="G105" s="141">
        <v>102002</v>
      </c>
      <c r="H105" s="141" t="s">
        <v>108</v>
      </c>
      <c r="I105" s="141" t="s">
        <v>247</v>
      </c>
      <c r="J105" s="159" t="s">
        <v>248</v>
      </c>
      <c r="K105" s="160">
        <v>0</v>
      </c>
      <c r="L105" s="141"/>
      <c r="M105" s="161">
        <v>5411.41</v>
      </c>
      <c r="N105" s="161">
        <v>0</v>
      </c>
      <c r="O105" s="161">
        <v>0</v>
      </c>
      <c r="P105" s="161">
        <v>0</v>
      </c>
      <c r="Q105" s="104">
        <f t="shared" si="5"/>
        <v>5411.41</v>
      </c>
      <c r="R105" s="104"/>
      <c r="S105" s="66">
        <f t="shared" si="6"/>
        <v>617.44188099999997</v>
      </c>
    </row>
    <row r="106" spans="1:19" ht="15" x14ac:dyDescent="0.25">
      <c r="A106" s="141" t="s">
        <v>148</v>
      </c>
      <c r="B106" s="141" t="s">
        <v>300</v>
      </c>
      <c r="C106" s="141" t="s">
        <v>157</v>
      </c>
      <c r="D106" s="142" t="s">
        <v>241</v>
      </c>
      <c r="E106" s="158" t="s">
        <v>360</v>
      </c>
      <c r="F106" s="142" t="s">
        <v>142</v>
      </c>
      <c r="G106" s="141">
        <v>102002</v>
      </c>
      <c r="H106" s="141" t="s">
        <v>108</v>
      </c>
      <c r="I106" s="141" t="s">
        <v>247</v>
      </c>
      <c r="J106" s="159" t="s">
        <v>286</v>
      </c>
      <c r="K106" s="160">
        <v>0</v>
      </c>
      <c r="L106" s="141"/>
      <c r="M106" s="161">
        <v>12171.07</v>
      </c>
      <c r="N106" s="161">
        <v>0</v>
      </c>
      <c r="O106" s="161">
        <v>0</v>
      </c>
      <c r="P106" s="161">
        <v>0</v>
      </c>
      <c r="Q106" s="104">
        <f t="shared" si="5"/>
        <v>12171.07</v>
      </c>
      <c r="R106" s="104"/>
      <c r="S106" s="66">
        <f t="shared" si="6"/>
        <v>1388.7190869999999</v>
      </c>
    </row>
    <row r="107" spans="1:19" ht="15" x14ac:dyDescent="0.25">
      <c r="A107" s="141" t="s">
        <v>148</v>
      </c>
      <c r="B107" s="141" t="s">
        <v>300</v>
      </c>
      <c r="C107" s="141" t="s">
        <v>157</v>
      </c>
      <c r="D107" s="142" t="s">
        <v>241</v>
      </c>
      <c r="E107" s="158" t="s">
        <v>360</v>
      </c>
      <c r="F107" s="142" t="s">
        <v>142</v>
      </c>
      <c r="G107" s="141">
        <v>102003</v>
      </c>
      <c r="H107" s="141" t="s">
        <v>106</v>
      </c>
      <c r="I107" s="141" t="s">
        <v>247</v>
      </c>
      <c r="J107" s="159" t="s">
        <v>248</v>
      </c>
      <c r="K107" s="160">
        <v>0</v>
      </c>
      <c r="L107" s="141"/>
      <c r="M107" s="161">
        <v>246775.76</v>
      </c>
      <c r="N107" s="161">
        <v>104000</v>
      </c>
      <c r="O107" s="161">
        <v>52000</v>
      </c>
      <c r="P107" s="161">
        <v>156000</v>
      </c>
      <c r="Q107" s="104">
        <f t="shared" si="5"/>
        <v>90775.760000000009</v>
      </c>
      <c r="R107" s="104"/>
      <c r="S107" s="66">
        <f t="shared" si="6"/>
        <v>28157.114216000002</v>
      </c>
    </row>
    <row r="108" spans="1:19" ht="15" x14ac:dyDescent="0.25">
      <c r="A108" s="141" t="s">
        <v>148</v>
      </c>
      <c r="B108" s="141" t="s">
        <v>300</v>
      </c>
      <c r="C108" s="141" t="s">
        <v>157</v>
      </c>
      <c r="D108" s="142" t="s">
        <v>241</v>
      </c>
      <c r="E108" s="158" t="s">
        <v>360</v>
      </c>
      <c r="F108" s="142" t="s">
        <v>142</v>
      </c>
      <c r="G108" s="141">
        <v>102003</v>
      </c>
      <c r="H108" s="141" t="s">
        <v>106</v>
      </c>
      <c r="I108" s="141" t="s">
        <v>247</v>
      </c>
      <c r="J108" s="159" t="s">
        <v>301</v>
      </c>
      <c r="K108" s="160">
        <v>0</v>
      </c>
      <c r="L108" s="141"/>
      <c r="M108" s="161">
        <v>0</v>
      </c>
      <c r="N108" s="161">
        <v>4000</v>
      </c>
      <c r="O108" s="161">
        <v>-4000</v>
      </c>
      <c r="P108" s="161">
        <v>0</v>
      </c>
      <c r="Q108" s="104">
        <f t="shared" si="5"/>
        <v>0</v>
      </c>
      <c r="R108" s="104"/>
      <c r="S108" s="66">
        <f t="shared" si="6"/>
        <v>0</v>
      </c>
    </row>
    <row r="109" spans="1:19" ht="15" x14ac:dyDescent="0.25">
      <c r="A109" s="141" t="s">
        <v>148</v>
      </c>
      <c r="B109" s="141" t="s">
        <v>300</v>
      </c>
      <c r="C109" s="141" t="s">
        <v>157</v>
      </c>
      <c r="D109" s="142" t="s">
        <v>241</v>
      </c>
      <c r="E109" s="158" t="s">
        <v>360</v>
      </c>
      <c r="F109" s="142" t="s">
        <v>142</v>
      </c>
      <c r="G109" s="141">
        <v>102003</v>
      </c>
      <c r="H109" s="141" t="s">
        <v>106</v>
      </c>
      <c r="I109" s="141" t="s">
        <v>247</v>
      </c>
      <c r="J109" s="159" t="s">
        <v>296</v>
      </c>
      <c r="K109" s="160">
        <v>0</v>
      </c>
      <c r="L109" s="141"/>
      <c r="M109" s="161">
        <v>0</v>
      </c>
      <c r="N109" s="161">
        <v>0</v>
      </c>
      <c r="O109" s="161">
        <v>4000</v>
      </c>
      <c r="P109" s="161">
        <v>4000</v>
      </c>
      <c r="Q109" s="104">
        <f t="shared" si="5"/>
        <v>-4000</v>
      </c>
      <c r="R109" s="104"/>
      <c r="S109" s="66">
        <f t="shared" si="6"/>
        <v>0</v>
      </c>
    </row>
    <row r="110" spans="1:19" ht="15" x14ac:dyDescent="0.25">
      <c r="A110" s="141" t="s">
        <v>148</v>
      </c>
      <c r="B110" s="141" t="s">
        <v>300</v>
      </c>
      <c r="C110" s="141" t="s">
        <v>157</v>
      </c>
      <c r="D110" s="142" t="s">
        <v>241</v>
      </c>
      <c r="E110" s="158" t="s">
        <v>360</v>
      </c>
      <c r="F110" s="142" t="s">
        <v>142</v>
      </c>
      <c r="G110" s="141">
        <v>102005</v>
      </c>
      <c r="H110" s="141" t="s">
        <v>112</v>
      </c>
      <c r="I110" s="141" t="s">
        <v>247</v>
      </c>
      <c r="J110" s="159" t="s">
        <v>248</v>
      </c>
      <c r="K110" s="160">
        <v>0</v>
      </c>
      <c r="L110" s="141"/>
      <c r="M110" s="161">
        <v>71369.7</v>
      </c>
      <c r="N110" s="161">
        <v>0</v>
      </c>
      <c r="O110" s="161">
        <v>0</v>
      </c>
      <c r="P110" s="161">
        <v>0</v>
      </c>
      <c r="Q110" s="104">
        <f t="shared" si="5"/>
        <v>71369.7</v>
      </c>
      <c r="R110" s="104"/>
      <c r="S110" s="66">
        <f t="shared" si="6"/>
        <v>8143.2827700000007</v>
      </c>
    </row>
    <row r="111" spans="1:19" ht="15" x14ac:dyDescent="0.25">
      <c r="A111" s="141" t="s">
        <v>148</v>
      </c>
      <c r="B111" s="141" t="s">
        <v>300</v>
      </c>
      <c r="C111" s="141" t="s">
        <v>157</v>
      </c>
      <c r="D111" s="142" t="s">
        <v>241</v>
      </c>
      <c r="E111" s="158" t="s">
        <v>360</v>
      </c>
      <c r="F111" s="142" t="s">
        <v>142</v>
      </c>
      <c r="G111" s="141">
        <v>102062</v>
      </c>
      <c r="H111" s="141" t="s">
        <v>113</v>
      </c>
      <c r="I111" s="141" t="s">
        <v>247</v>
      </c>
      <c r="J111" s="159" t="s">
        <v>248</v>
      </c>
      <c r="K111" s="160">
        <v>0</v>
      </c>
      <c r="L111" s="141"/>
      <c r="M111" s="161">
        <v>4623.6099999999997</v>
      </c>
      <c r="N111" s="161">
        <v>0</v>
      </c>
      <c r="O111" s="161">
        <v>0</v>
      </c>
      <c r="P111" s="161">
        <v>0</v>
      </c>
      <c r="Q111" s="104">
        <f t="shared" si="5"/>
        <v>4623.6099999999997</v>
      </c>
      <c r="R111" s="104"/>
      <c r="S111" s="66">
        <f t="shared" si="6"/>
        <v>527.553901</v>
      </c>
    </row>
    <row r="112" spans="1:19" ht="15" x14ac:dyDescent="0.25">
      <c r="A112" s="141" t="s">
        <v>148</v>
      </c>
      <c r="B112" s="141" t="s">
        <v>300</v>
      </c>
      <c r="C112" s="141" t="s">
        <v>157</v>
      </c>
      <c r="D112" s="142" t="s">
        <v>241</v>
      </c>
      <c r="E112" s="158" t="s">
        <v>360</v>
      </c>
      <c r="F112" s="142" t="s">
        <v>142</v>
      </c>
      <c r="G112" s="141">
        <v>103001</v>
      </c>
      <c r="H112" s="141" t="s">
        <v>109</v>
      </c>
      <c r="I112" s="141" t="s">
        <v>247</v>
      </c>
      <c r="J112" s="159" t="s">
        <v>248</v>
      </c>
      <c r="K112" s="160">
        <v>0</v>
      </c>
      <c r="L112" s="141"/>
      <c r="M112" s="161">
        <v>44402.76</v>
      </c>
      <c r="N112" s="161">
        <v>0</v>
      </c>
      <c r="O112" s="161">
        <v>7000</v>
      </c>
      <c r="P112" s="161">
        <v>7000</v>
      </c>
      <c r="Q112" s="104">
        <f t="shared" si="5"/>
        <v>37402.76</v>
      </c>
      <c r="R112" s="104"/>
      <c r="S112" s="66">
        <f t="shared" si="6"/>
        <v>5066.3549160000011</v>
      </c>
    </row>
    <row r="113" spans="1:19" ht="15" x14ac:dyDescent="0.25">
      <c r="A113" s="141" t="s">
        <v>148</v>
      </c>
      <c r="B113" s="141" t="s">
        <v>300</v>
      </c>
      <c r="C113" s="141" t="s">
        <v>157</v>
      </c>
      <c r="D113" s="142" t="s">
        <v>241</v>
      </c>
      <c r="E113" s="158" t="s">
        <v>360</v>
      </c>
      <c r="F113" s="142" t="s">
        <v>142</v>
      </c>
      <c r="G113" s="141">
        <v>103001</v>
      </c>
      <c r="H113" s="141" t="s">
        <v>109</v>
      </c>
      <c r="I113" s="141" t="s">
        <v>247</v>
      </c>
      <c r="J113" s="159" t="s">
        <v>286</v>
      </c>
      <c r="K113" s="160">
        <v>0</v>
      </c>
      <c r="L113" s="141"/>
      <c r="M113" s="161">
        <v>29550.54</v>
      </c>
      <c r="N113" s="161">
        <v>0</v>
      </c>
      <c r="O113" s="161">
        <v>0</v>
      </c>
      <c r="P113" s="161">
        <v>0</v>
      </c>
      <c r="Q113" s="104">
        <f t="shared" si="5"/>
        <v>29550.54</v>
      </c>
      <c r="R113" s="104"/>
      <c r="S113" s="66">
        <f t="shared" si="6"/>
        <v>3371.7166139999999</v>
      </c>
    </row>
    <row r="114" spans="1:19" ht="15" x14ac:dyDescent="0.25">
      <c r="A114" s="141" t="s">
        <v>148</v>
      </c>
      <c r="B114" s="141" t="s">
        <v>300</v>
      </c>
      <c r="C114" s="141" t="s">
        <v>157</v>
      </c>
      <c r="D114" s="142" t="s">
        <v>241</v>
      </c>
      <c r="E114" s="158" t="s">
        <v>360</v>
      </c>
      <c r="F114" s="142" t="s">
        <v>142</v>
      </c>
      <c r="G114" s="141">
        <v>103069</v>
      </c>
      <c r="H114" s="141" t="s">
        <v>214</v>
      </c>
      <c r="I114" s="141" t="s">
        <v>247</v>
      </c>
      <c r="J114" s="159" t="s">
        <v>248</v>
      </c>
      <c r="K114" s="160">
        <v>0</v>
      </c>
      <c r="L114" s="141"/>
      <c r="M114" s="161">
        <v>8714.8799999999992</v>
      </c>
      <c r="N114" s="161">
        <v>0</v>
      </c>
      <c r="O114" s="161">
        <v>0</v>
      </c>
      <c r="P114" s="161">
        <v>0</v>
      </c>
      <c r="Q114" s="104">
        <f t="shared" si="5"/>
        <v>8714.8799999999992</v>
      </c>
      <c r="R114" s="104"/>
      <c r="S114" s="66">
        <f t="shared" si="6"/>
        <v>994.36780799999997</v>
      </c>
    </row>
    <row r="115" spans="1:19" ht="15" x14ac:dyDescent="0.25">
      <c r="A115" s="141" t="s">
        <v>148</v>
      </c>
      <c r="B115" s="141" t="s">
        <v>300</v>
      </c>
      <c r="C115" s="141" t="s">
        <v>157</v>
      </c>
      <c r="D115" s="142" t="s">
        <v>241</v>
      </c>
      <c r="E115" s="158" t="s">
        <v>360</v>
      </c>
      <c r="F115" s="142" t="s">
        <v>142</v>
      </c>
      <c r="G115" s="141">
        <v>104000</v>
      </c>
      <c r="H115" s="141" t="s">
        <v>110</v>
      </c>
      <c r="I115" s="141" t="s">
        <v>247</v>
      </c>
      <c r="J115" s="159" t="s">
        <v>248</v>
      </c>
      <c r="K115" s="160">
        <v>0</v>
      </c>
      <c r="L115" s="141"/>
      <c r="M115" s="161">
        <v>37966.089999999997</v>
      </c>
      <c r="N115" s="161">
        <v>38000</v>
      </c>
      <c r="O115" s="161">
        <v>7000</v>
      </c>
      <c r="P115" s="161">
        <v>45000</v>
      </c>
      <c r="Q115" s="104">
        <f t="shared" si="5"/>
        <v>-7033.9100000000035</v>
      </c>
      <c r="R115" s="104"/>
      <c r="S115" s="66">
        <f t="shared" si="6"/>
        <v>4331.9308689999998</v>
      </c>
    </row>
    <row r="116" spans="1:19" ht="15" x14ac:dyDescent="0.25">
      <c r="A116" s="141" t="s">
        <v>148</v>
      </c>
      <c r="B116" s="141" t="s">
        <v>300</v>
      </c>
      <c r="C116" s="141" t="s">
        <v>157</v>
      </c>
      <c r="D116" s="142" t="s">
        <v>241</v>
      </c>
      <c r="E116" s="158" t="s">
        <v>360</v>
      </c>
      <c r="F116" s="142" t="s">
        <v>142</v>
      </c>
      <c r="G116" s="141">
        <v>104000</v>
      </c>
      <c r="H116" s="141" t="s">
        <v>110</v>
      </c>
      <c r="I116" s="141" t="s">
        <v>247</v>
      </c>
      <c r="J116" s="159" t="s">
        <v>296</v>
      </c>
      <c r="K116" s="160">
        <v>0</v>
      </c>
      <c r="L116" s="141"/>
      <c r="M116" s="161">
        <v>2711.97</v>
      </c>
      <c r="N116" s="161">
        <v>0</v>
      </c>
      <c r="O116" s="161">
        <v>0</v>
      </c>
      <c r="P116" s="161">
        <v>0</v>
      </c>
      <c r="Q116" s="104">
        <f t="shared" si="5"/>
        <v>2711.97</v>
      </c>
      <c r="R116" s="104"/>
      <c r="S116" s="66">
        <f t="shared" si="6"/>
        <v>309.43577700000003</v>
      </c>
    </row>
    <row r="117" spans="1:19" ht="15" x14ac:dyDescent="0.25">
      <c r="A117" s="141" t="s">
        <v>148</v>
      </c>
      <c r="B117" s="141" t="s">
        <v>300</v>
      </c>
      <c r="C117" s="141" t="s">
        <v>157</v>
      </c>
      <c r="D117" s="142" t="s">
        <v>241</v>
      </c>
      <c r="E117" s="158" t="s">
        <v>360</v>
      </c>
      <c r="F117" s="142" t="s">
        <v>142</v>
      </c>
      <c r="G117" s="141">
        <v>105010</v>
      </c>
      <c r="H117" s="141" t="s">
        <v>118</v>
      </c>
      <c r="I117" s="141" t="s">
        <v>247</v>
      </c>
      <c r="J117" s="159" t="s">
        <v>248</v>
      </c>
      <c r="K117" s="160">
        <v>0</v>
      </c>
      <c r="L117" s="141"/>
      <c r="M117" s="161">
        <v>5498.09</v>
      </c>
      <c r="N117" s="161">
        <v>0</v>
      </c>
      <c r="O117" s="161">
        <v>0</v>
      </c>
      <c r="P117" s="161">
        <v>0</v>
      </c>
      <c r="Q117" s="104">
        <f t="shared" si="5"/>
        <v>5498.09</v>
      </c>
      <c r="R117" s="104"/>
      <c r="S117" s="66">
        <f t="shared" si="6"/>
        <v>627.33206900000005</v>
      </c>
    </row>
    <row r="118" spans="1:19" ht="15" x14ac:dyDescent="0.25">
      <c r="A118" s="141" t="s">
        <v>148</v>
      </c>
      <c r="B118" s="141" t="s">
        <v>300</v>
      </c>
      <c r="C118" s="141" t="s">
        <v>157</v>
      </c>
      <c r="D118" s="142" t="s">
        <v>241</v>
      </c>
      <c r="E118" s="158" t="s">
        <v>360</v>
      </c>
      <c r="F118" s="142" t="s">
        <v>142</v>
      </c>
      <c r="G118" s="141">
        <v>105019</v>
      </c>
      <c r="H118" s="141" t="s">
        <v>111</v>
      </c>
      <c r="I118" s="141" t="s">
        <v>247</v>
      </c>
      <c r="J118" s="159" t="s">
        <v>248</v>
      </c>
      <c r="K118" s="160">
        <v>0</v>
      </c>
      <c r="L118" s="141"/>
      <c r="M118" s="161">
        <v>2667.64</v>
      </c>
      <c r="N118" s="161">
        <v>0</v>
      </c>
      <c r="O118" s="161">
        <v>0</v>
      </c>
      <c r="P118" s="161">
        <v>0</v>
      </c>
      <c r="Q118" s="104">
        <f t="shared" si="5"/>
        <v>2667.64</v>
      </c>
      <c r="R118" s="104"/>
      <c r="S118" s="66">
        <f t="shared" si="6"/>
        <v>304.377724</v>
      </c>
    </row>
    <row r="119" spans="1:19" ht="15" x14ac:dyDescent="0.25">
      <c r="A119" s="141" t="s">
        <v>148</v>
      </c>
      <c r="B119" s="141" t="s">
        <v>300</v>
      </c>
      <c r="C119" s="141" t="s">
        <v>157</v>
      </c>
      <c r="D119" s="142" t="s">
        <v>241</v>
      </c>
      <c r="E119" s="158" t="s">
        <v>360</v>
      </c>
      <c r="F119" s="142" t="s">
        <v>142</v>
      </c>
      <c r="G119" s="141">
        <v>105098</v>
      </c>
      <c r="H119" s="141" t="s">
        <v>265</v>
      </c>
      <c r="I119" s="141" t="s">
        <v>247</v>
      </c>
      <c r="J119" s="159" t="s">
        <v>302</v>
      </c>
      <c r="K119" s="160">
        <v>0</v>
      </c>
      <c r="L119" s="141"/>
      <c r="M119" s="161">
        <v>-4392</v>
      </c>
      <c r="N119" s="161">
        <v>0</v>
      </c>
      <c r="O119" s="161">
        <v>0</v>
      </c>
      <c r="P119" s="161">
        <v>0</v>
      </c>
      <c r="Q119" s="104">
        <f t="shared" si="5"/>
        <v>-4392</v>
      </c>
      <c r="R119" s="104"/>
      <c r="S119" s="66">
        <f t="shared" si="6"/>
        <v>-501.12720000000007</v>
      </c>
    </row>
    <row r="120" spans="1:19" ht="15" x14ac:dyDescent="0.25">
      <c r="A120" s="141" t="s">
        <v>148</v>
      </c>
      <c r="B120" s="141" t="s">
        <v>300</v>
      </c>
      <c r="C120" s="141" t="s">
        <v>157</v>
      </c>
      <c r="D120" s="142" t="s">
        <v>241</v>
      </c>
      <c r="E120" s="158" t="s">
        <v>360</v>
      </c>
      <c r="F120" s="142" t="s">
        <v>142</v>
      </c>
      <c r="G120" s="141">
        <v>105099</v>
      </c>
      <c r="H120" s="141" t="s">
        <v>103</v>
      </c>
      <c r="I120" s="141" t="s">
        <v>247</v>
      </c>
      <c r="J120" s="159" t="s">
        <v>303</v>
      </c>
      <c r="K120" s="160">
        <v>0</v>
      </c>
      <c r="L120" s="141"/>
      <c r="M120" s="161">
        <v>4392</v>
      </c>
      <c r="N120" s="161">
        <v>0</v>
      </c>
      <c r="O120" s="161">
        <v>0</v>
      </c>
      <c r="P120" s="161">
        <v>0</v>
      </c>
      <c r="Q120" s="104">
        <f t="shared" si="5"/>
        <v>4392</v>
      </c>
      <c r="R120" s="104"/>
      <c r="S120" s="66">
        <f t="shared" si="6"/>
        <v>501.12720000000007</v>
      </c>
    </row>
    <row r="121" spans="1:19" ht="15" x14ac:dyDescent="0.25">
      <c r="A121" s="141" t="s">
        <v>148</v>
      </c>
      <c r="B121" s="141" t="s">
        <v>300</v>
      </c>
      <c r="C121" s="141" t="s">
        <v>157</v>
      </c>
      <c r="D121" s="142" t="s">
        <v>241</v>
      </c>
      <c r="E121" s="158" t="s">
        <v>360</v>
      </c>
      <c r="F121" s="142" t="s">
        <v>142</v>
      </c>
      <c r="G121" s="144">
        <v>109001</v>
      </c>
      <c r="H121" s="141" t="s">
        <v>101</v>
      </c>
      <c r="I121" s="141" t="s">
        <v>247</v>
      </c>
      <c r="J121" s="159" t="s">
        <v>248</v>
      </c>
      <c r="K121" s="160">
        <v>0</v>
      </c>
      <c r="L121" s="141"/>
      <c r="M121" s="161">
        <v>542846.55000000005</v>
      </c>
      <c r="N121" s="161">
        <v>462000</v>
      </c>
      <c r="O121" s="161">
        <v>69000</v>
      </c>
      <c r="P121" s="161">
        <v>531000</v>
      </c>
      <c r="Q121" s="104">
        <f t="shared" si="5"/>
        <v>11846.550000000047</v>
      </c>
      <c r="R121" s="129">
        <f t="shared" ref="R121:R123" si="8">M121*-1.141</f>
        <v>-619387.91355000006</v>
      </c>
    </row>
    <row r="122" spans="1:19" ht="15" x14ac:dyDescent="0.25">
      <c r="A122" s="141" t="s">
        <v>148</v>
      </c>
      <c r="B122" s="141" t="s">
        <v>300</v>
      </c>
      <c r="C122" s="141" t="s">
        <v>157</v>
      </c>
      <c r="D122" s="142" t="s">
        <v>241</v>
      </c>
      <c r="E122" s="158" t="s">
        <v>360</v>
      </c>
      <c r="F122" s="142" t="s">
        <v>142</v>
      </c>
      <c r="G122" s="144">
        <v>109001</v>
      </c>
      <c r="H122" s="141" t="s">
        <v>101</v>
      </c>
      <c r="I122" s="141" t="s">
        <v>247</v>
      </c>
      <c r="J122" s="159" t="s">
        <v>286</v>
      </c>
      <c r="K122" s="160">
        <v>0</v>
      </c>
      <c r="L122" s="141"/>
      <c r="M122" s="161">
        <v>5130.84</v>
      </c>
      <c r="N122" s="161">
        <v>0</v>
      </c>
      <c r="O122" s="161">
        <v>0</v>
      </c>
      <c r="P122" s="161">
        <v>0</v>
      </c>
      <c r="Q122" s="104">
        <f t="shared" si="5"/>
        <v>5130.84</v>
      </c>
      <c r="R122" s="129">
        <f t="shared" si="8"/>
        <v>-5854.2884400000003</v>
      </c>
    </row>
    <row r="123" spans="1:19" ht="15" x14ac:dyDescent="0.25">
      <c r="A123" s="141" t="s">
        <v>148</v>
      </c>
      <c r="B123" s="141" t="s">
        <v>300</v>
      </c>
      <c r="C123" s="141" t="s">
        <v>157</v>
      </c>
      <c r="D123" s="142" t="s">
        <v>241</v>
      </c>
      <c r="E123" s="158" t="s">
        <v>360</v>
      </c>
      <c r="F123" s="142" t="s">
        <v>142</v>
      </c>
      <c r="G123" s="144">
        <v>109001</v>
      </c>
      <c r="H123" s="141" t="s">
        <v>101</v>
      </c>
      <c r="I123" s="141" t="s">
        <v>247</v>
      </c>
      <c r="J123" s="159" t="s">
        <v>364</v>
      </c>
      <c r="K123" s="160">
        <v>0</v>
      </c>
      <c r="L123" s="141"/>
      <c r="M123" s="161">
        <v>1253.3</v>
      </c>
      <c r="N123" s="161">
        <v>0</v>
      </c>
      <c r="O123" s="161">
        <v>0</v>
      </c>
      <c r="P123" s="161">
        <v>0</v>
      </c>
      <c r="Q123" s="104">
        <f t="shared" si="5"/>
        <v>1253.3</v>
      </c>
      <c r="R123" s="129">
        <f t="shared" si="8"/>
        <v>-1430.0153</v>
      </c>
    </row>
    <row r="124" spans="1:19" ht="15" x14ac:dyDescent="0.25">
      <c r="A124" s="141" t="s">
        <v>148</v>
      </c>
      <c r="B124" s="141" t="s">
        <v>300</v>
      </c>
      <c r="C124" s="141" t="s">
        <v>157</v>
      </c>
      <c r="D124" s="142" t="s">
        <v>241</v>
      </c>
      <c r="E124" s="158" t="s">
        <v>360</v>
      </c>
      <c r="F124" s="142" t="s">
        <v>142</v>
      </c>
      <c r="G124" s="144">
        <v>109901</v>
      </c>
      <c r="H124" s="141" t="s">
        <v>102</v>
      </c>
      <c r="I124" s="141" t="s">
        <v>247</v>
      </c>
      <c r="J124" s="159" t="s">
        <v>248</v>
      </c>
      <c r="K124" s="160">
        <v>0</v>
      </c>
      <c r="L124" s="141"/>
      <c r="M124" s="161">
        <v>839800.12</v>
      </c>
      <c r="N124" s="161">
        <v>759000</v>
      </c>
      <c r="O124" s="161">
        <v>113000</v>
      </c>
      <c r="P124" s="161">
        <v>872000</v>
      </c>
      <c r="Q124" s="104">
        <f t="shared" si="5"/>
        <v>-32199.880000000005</v>
      </c>
      <c r="R124" s="104"/>
    </row>
    <row r="125" spans="1:19" ht="15" x14ac:dyDescent="0.25">
      <c r="A125" s="141" t="s">
        <v>148</v>
      </c>
      <c r="B125" s="141" t="s">
        <v>300</v>
      </c>
      <c r="C125" s="141" t="s">
        <v>157</v>
      </c>
      <c r="D125" s="142" t="s">
        <v>241</v>
      </c>
      <c r="E125" s="158" t="s">
        <v>360</v>
      </c>
      <c r="F125" s="142" t="s">
        <v>142</v>
      </c>
      <c r="G125" s="144">
        <v>109901</v>
      </c>
      <c r="H125" s="141" t="s">
        <v>102</v>
      </c>
      <c r="I125" s="141" t="s">
        <v>247</v>
      </c>
      <c r="J125" s="159" t="s">
        <v>303</v>
      </c>
      <c r="K125" s="160">
        <v>0</v>
      </c>
      <c r="L125" s="141"/>
      <c r="M125" s="161">
        <v>619.32000000000005</v>
      </c>
      <c r="N125" s="161">
        <v>0</v>
      </c>
      <c r="O125" s="161">
        <v>0</v>
      </c>
      <c r="P125" s="161">
        <v>0</v>
      </c>
      <c r="Q125" s="104">
        <f t="shared" si="5"/>
        <v>619.32000000000005</v>
      </c>
      <c r="R125" s="104"/>
    </row>
    <row r="126" spans="1:19" ht="15" x14ac:dyDescent="0.25">
      <c r="A126" s="141" t="s">
        <v>148</v>
      </c>
      <c r="B126" s="141" t="s">
        <v>300</v>
      </c>
      <c r="C126" s="141" t="s">
        <v>157</v>
      </c>
      <c r="D126" s="142" t="s">
        <v>241</v>
      </c>
      <c r="E126" s="158" t="s">
        <v>360</v>
      </c>
      <c r="F126" s="142" t="s">
        <v>142</v>
      </c>
      <c r="G126" s="144">
        <v>109901</v>
      </c>
      <c r="H126" s="141" t="s">
        <v>102</v>
      </c>
      <c r="I126" s="141" t="s">
        <v>247</v>
      </c>
      <c r="J126" s="159" t="s">
        <v>286</v>
      </c>
      <c r="K126" s="160">
        <v>0</v>
      </c>
      <c r="L126" s="141"/>
      <c r="M126" s="161">
        <v>8358.2199999999993</v>
      </c>
      <c r="N126" s="161">
        <v>0</v>
      </c>
      <c r="O126" s="161">
        <v>0</v>
      </c>
      <c r="P126" s="161">
        <v>0</v>
      </c>
      <c r="Q126" s="104">
        <f t="shared" si="5"/>
        <v>8358.2199999999993</v>
      </c>
      <c r="R126" s="104"/>
    </row>
    <row r="127" spans="1:19" ht="15" x14ac:dyDescent="0.25">
      <c r="A127" s="141" t="s">
        <v>148</v>
      </c>
      <c r="B127" s="141" t="s">
        <v>300</v>
      </c>
      <c r="C127" s="141" t="s">
        <v>157</v>
      </c>
      <c r="D127" s="142" t="s">
        <v>241</v>
      </c>
      <c r="E127" s="158" t="s">
        <v>360</v>
      </c>
      <c r="F127" s="142" t="s">
        <v>142</v>
      </c>
      <c r="G127" s="144">
        <v>109901</v>
      </c>
      <c r="H127" s="141" t="s">
        <v>102</v>
      </c>
      <c r="I127" s="141" t="s">
        <v>247</v>
      </c>
      <c r="J127" s="159" t="s">
        <v>301</v>
      </c>
      <c r="K127" s="160">
        <v>0</v>
      </c>
      <c r="L127" s="141"/>
      <c r="M127" s="161">
        <v>0</v>
      </c>
      <c r="N127" s="161">
        <v>1000</v>
      </c>
      <c r="O127" s="161">
        <v>-1000</v>
      </c>
      <c r="P127" s="161">
        <v>0</v>
      </c>
      <c r="Q127" s="104">
        <f t="shared" si="5"/>
        <v>0</v>
      </c>
      <c r="R127" s="104"/>
    </row>
    <row r="128" spans="1:19" ht="15" x14ac:dyDescent="0.25">
      <c r="A128" s="141" t="s">
        <v>148</v>
      </c>
      <c r="B128" s="141" t="s">
        <v>300</v>
      </c>
      <c r="C128" s="141" t="s">
        <v>157</v>
      </c>
      <c r="D128" s="142" t="s">
        <v>241</v>
      </c>
      <c r="E128" s="158" t="s">
        <v>360</v>
      </c>
      <c r="F128" s="142" t="s">
        <v>142</v>
      </c>
      <c r="G128" s="144">
        <v>109901</v>
      </c>
      <c r="H128" s="141" t="s">
        <v>102</v>
      </c>
      <c r="I128" s="141" t="s">
        <v>247</v>
      </c>
      <c r="J128" s="159" t="s">
        <v>296</v>
      </c>
      <c r="K128" s="160">
        <v>0</v>
      </c>
      <c r="L128" s="141"/>
      <c r="M128" s="161">
        <v>382.38</v>
      </c>
      <c r="N128" s="161">
        <v>0</v>
      </c>
      <c r="O128" s="161">
        <v>1000</v>
      </c>
      <c r="P128" s="161">
        <v>1000</v>
      </c>
      <c r="Q128" s="104">
        <f t="shared" si="5"/>
        <v>-617.62</v>
      </c>
      <c r="R128" s="104"/>
    </row>
    <row r="129" spans="1:19" ht="15" x14ac:dyDescent="0.25">
      <c r="A129" s="141" t="s">
        <v>148</v>
      </c>
      <c r="B129" s="141" t="s">
        <v>300</v>
      </c>
      <c r="C129" s="141" t="s">
        <v>157</v>
      </c>
      <c r="D129" s="142" t="s">
        <v>241</v>
      </c>
      <c r="E129" s="158" t="s">
        <v>360</v>
      </c>
      <c r="F129" s="142" t="s">
        <v>142</v>
      </c>
      <c r="G129" s="144">
        <v>109901</v>
      </c>
      <c r="H129" s="141" t="s">
        <v>102</v>
      </c>
      <c r="I129" s="141" t="s">
        <v>247</v>
      </c>
      <c r="J129" s="159" t="s">
        <v>364</v>
      </c>
      <c r="K129" s="160">
        <v>0</v>
      </c>
      <c r="L129" s="141"/>
      <c r="M129" s="161">
        <v>2282.3000000000002</v>
      </c>
      <c r="N129" s="161">
        <v>0</v>
      </c>
      <c r="O129" s="161">
        <v>0</v>
      </c>
      <c r="P129" s="161">
        <v>0</v>
      </c>
      <c r="Q129" s="104">
        <f t="shared" si="5"/>
        <v>2282.3000000000002</v>
      </c>
      <c r="R129" s="104"/>
    </row>
    <row r="130" spans="1:19" ht="15" x14ac:dyDescent="0.25">
      <c r="A130" s="141" t="s">
        <v>148</v>
      </c>
      <c r="B130" s="141" t="s">
        <v>304</v>
      </c>
      <c r="C130" s="141" t="s">
        <v>158</v>
      </c>
      <c r="D130" s="142" t="s">
        <v>241</v>
      </c>
      <c r="E130" s="158" t="s">
        <v>360</v>
      </c>
      <c r="F130" s="142" t="s">
        <v>142</v>
      </c>
      <c r="G130" s="141">
        <v>101001</v>
      </c>
      <c r="H130" s="141" t="s">
        <v>104</v>
      </c>
      <c r="I130" s="141" t="s">
        <v>247</v>
      </c>
      <c r="J130" s="159" t="s">
        <v>248</v>
      </c>
      <c r="K130" s="160">
        <v>0</v>
      </c>
      <c r="L130" s="141"/>
      <c r="M130" s="161">
        <v>6113813.2800000003</v>
      </c>
      <c r="N130" s="161">
        <v>5906000</v>
      </c>
      <c r="O130" s="161">
        <v>157000</v>
      </c>
      <c r="P130" s="161">
        <v>6063000</v>
      </c>
      <c r="Q130" s="104">
        <f t="shared" si="5"/>
        <v>50813.280000000261</v>
      </c>
      <c r="R130" s="104"/>
      <c r="S130" s="66">
        <f t="shared" si="6"/>
        <v>697586.09524800011</v>
      </c>
    </row>
    <row r="131" spans="1:19" ht="15" x14ac:dyDescent="0.25">
      <c r="A131" s="141" t="s">
        <v>148</v>
      </c>
      <c r="B131" s="141" t="s">
        <v>304</v>
      </c>
      <c r="C131" s="141" t="s">
        <v>158</v>
      </c>
      <c r="D131" s="142" t="s">
        <v>241</v>
      </c>
      <c r="E131" s="158" t="s">
        <v>360</v>
      </c>
      <c r="F131" s="142" t="s">
        <v>142</v>
      </c>
      <c r="G131" s="141">
        <v>101002</v>
      </c>
      <c r="H131" s="141" t="s">
        <v>105</v>
      </c>
      <c r="I131" s="141" t="s">
        <v>247</v>
      </c>
      <c r="J131" s="159" t="s">
        <v>248</v>
      </c>
      <c r="K131" s="160">
        <v>0</v>
      </c>
      <c r="L131" s="141"/>
      <c r="M131" s="161">
        <v>44360.23</v>
      </c>
      <c r="N131" s="161">
        <v>0</v>
      </c>
      <c r="O131" s="161">
        <v>0</v>
      </c>
      <c r="P131" s="161">
        <v>0</v>
      </c>
      <c r="Q131" s="104">
        <f t="shared" si="5"/>
        <v>44360.23</v>
      </c>
      <c r="R131" s="104"/>
      <c r="S131" s="66">
        <f t="shared" si="6"/>
        <v>5061.5022429999999</v>
      </c>
    </row>
    <row r="132" spans="1:19" ht="15" x14ac:dyDescent="0.25">
      <c r="A132" s="141" t="s">
        <v>148</v>
      </c>
      <c r="B132" s="141" t="s">
        <v>304</v>
      </c>
      <c r="C132" s="141" t="s">
        <v>158</v>
      </c>
      <c r="D132" s="142" t="s">
        <v>241</v>
      </c>
      <c r="E132" s="158" t="s">
        <v>360</v>
      </c>
      <c r="F132" s="142" t="s">
        <v>142</v>
      </c>
      <c r="G132" s="141">
        <v>101039</v>
      </c>
      <c r="H132" s="141" t="s">
        <v>107</v>
      </c>
      <c r="I132" s="141" t="s">
        <v>247</v>
      </c>
      <c r="J132" s="159" t="s">
        <v>248</v>
      </c>
      <c r="K132" s="160">
        <v>0</v>
      </c>
      <c r="L132" s="141"/>
      <c r="M132" s="161">
        <v>181854.63</v>
      </c>
      <c r="N132" s="161">
        <v>0</v>
      </c>
      <c r="O132" s="161">
        <v>0</v>
      </c>
      <c r="P132" s="161">
        <v>0</v>
      </c>
      <c r="Q132" s="104">
        <f t="shared" si="5"/>
        <v>181854.63</v>
      </c>
      <c r="R132" s="129"/>
      <c r="S132" s="66">
        <f t="shared" si="6"/>
        <v>20749.613282999999</v>
      </c>
    </row>
    <row r="133" spans="1:19" ht="15" x14ac:dyDescent="0.25">
      <c r="A133" s="141" t="s">
        <v>148</v>
      </c>
      <c r="B133" s="141" t="s">
        <v>304</v>
      </c>
      <c r="C133" s="141" t="s">
        <v>158</v>
      </c>
      <c r="D133" s="142" t="s">
        <v>241</v>
      </c>
      <c r="E133" s="158" t="s">
        <v>360</v>
      </c>
      <c r="F133" s="142" t="s">
        <v>142</v>
      </c>
      <c r="G133" s="141">
        <v>102002</v>
      </c>
      <c r="H133" s="141" t="s">
        <v>108</v>
      </c>
      <c r="I133" s="141" t="s">
        <v>247</v>
      </c>
      <c r="J133" s="159" t="s">
        <v>248</v>
      </c>
      <c r="K133" s="160">
        <v>0</v>
      </c>
      <c r="L133" s="141"/>
      <c r="M133" s="161">
        <v>4239.18</v>
      </c>
      <c r="N133" s="161">
        <v>0</v>
      </c>
      <c r="O133" s="161">
        <v>0</v>
      </c>
      <c r="P133" s="161">
        <v>0</v>
      </c>
      <c r="Q133" s="104">
        <f t="shared" si="5"/>
        <v>4239.18</v>
      </c>
      <c r="R133" s="129"/>
      <c r="S133" s="66">
        <f t="shared" si="6"/>
        <v>483.69043800000009</v>
      </c>
    </row>
    <row r="134" spans="1:19" ht="15" x14ac:dyDescent="0.25">
      <c r="A134" s="141" t="s">
        <v>148</v>
      </c>
      <c r="B134" s="141" t="s">
        <v>304</v>
      </c>
      <c r="C134" s="141" t="s">
        <v>158</v>
      </c>
      <c r="D134" s="142" t="s">
        <v>241</v>
      </c>
      <c r="E134" s="158" t="s">
        <v>360</v>
      </c>
      <c r="F134" s="142" t="s">
        <v>142</v>
      </c>
      <c r="G134" s="141">
        <v>102002</v>
      </c>
      <c r="H134" s="141" t="s">
        <v>108</v>
      </c>
      <c r="I134" s="141" t="s">
        <v>247</v>
      </c>
      <c r="J134" s="159" t="s">
        <v>297</v>
      </c>
      <c r="K134" s="160">
        <v>0</v>
      </c>
      <c r="L134" s="141"/>
      <c r="M134" s="161">
        <v>5622.8</v>
      </c>
      <c r="N134" s="161">
        <v>0</v>
      </c>
      <c r="O134" s="161">
        <v>0</v>
      </c>
      <c r="P134" s="161">
        <v>0</v>
      </c>
      <c r="Q134" s="104">
        <f t="shared" si="5"/>
        <v>5622.8</v>
      </c>
      <c r="R134" s="129"/>
      <c r="S134" s="66">
        <f t="shared" si="6"/>
        <v>641.56148000000007</v>
      </c>
    </row>
    <row r="135" spans="1:19" ht="15" x14ac:dyDescent="0.25">
      <c r="A135" s="141" t="s">
        <v>148</v>
      </c>
      <c r="B135" s="141" t="s">
        <v>304</v>
      </c>
      <c r="C135" s="141" t="s">
        <v>158</v>
      </c>
      <c r="D135" s="142" t="s">
        <v>241</v>
      </c>
      <c r="E135" s="158" t="s">
        <v>360</v>
      </c>
      <c r="F135" s="142" t="s">
        <v>142</v>
      </c>
      <c r="G135" s="141">
        <v>102003</v>
      </c>
      <c r="H135" s="141" t="s">
        <v>106</v>
      </c>
      <c r="I135" s="141" t="s">
        <v>247</v>
      </c>
      <c r="J135" s="159" t="s">
        <v>248</v>
      </c>
      <c r="K135" s="160">
        <v>0</v>
      </c>
      <c r="L135" s="141"/>
      <c r="M135" s="161">
        <v>356567.06</v>
      </c>
      <c r="N135" s="161">
        <v>144000</v>
      </c>
      <c r="O135" s="161">
        <v>57000</v>
      </c>
      <c r="P135" s="161">
        <v>201000</v>
      </c>
      <c r="Q135" s="104">
        <f t="shared" si="5"/>
        <v>155567.06</v>
      </c>
      <c r="R135" s="129"/>
      <c r="S135" s="66">
        <f t="shared" si="6"/>
        <v>40684.301545999995</v>
      </c>
    </row>
    <row r="136" spans="1:19" ht="15" x14ac:dyDescent="0.25">
      <c r="A136" s="141" t="s">
        <v>148</v>
      </c>
      <c r="B136" s="141" t="s">
        <v>304</v>
      </c>
      <c r="C136" s="141" t="s">
        <v>158</v>
      </c>
      <c r="D136" s="142" t="s">
        <v>241</v>
      </c>
      <c r="E136" s="158" t="s">
        <v>360</v>
      </c>
      <c r="F136" s="142" t="s">
        <v>142</v>
      </c>
      <c r="G136" s="141">
        <v>102003</v>
      </c>
      <c r="H136" s="141" t="s">
        <v>106</v>
      </c>
      <c r="I136" s="141" t="s">
        <v>247</v>
      </c>
      <c r="J136" s="159" t="s">
        <v>297</v>
      </c>
      <c r="K136" s="160">
        <v>0</v>
      </c>
      <c r="L136" s="141"/>
      <c r="M136" s="161">
        <v>1788.95</v>
      </c>
      <c r="N136" s="161">
        <v>0</v>
      </c>
      <c r="O136" s="161">
        <v>0</v>
      </c>
      <c r="P136" s="161">
        <v>0</v>
      </c>
      <c r="Q136" s="104">
        <f t="shared" ref="Q136:Q199" si="9">M136-P136</f>
        <v>1788.95</v>
      </c>
      <c r="R136" s="104"/>
      <c r="S136" s="66">
        <f t="shared" si="6"/>
        <v>204.11919500000002</v>
      </c>
    </row>
    <row r="137" spans="1:19" ht="15" x14ac:dyDescent="0.25">
      <c r="A137" s="141" t="s">
        <v>148</v>
      </c>
      <c r="B137" s="141" t="s">
        <v>304</v>
      </c>
      <c r="C137" s="141" t="s">
        <v>158</v>
      </c>
      <c r="D137" s="142" t="s">
        <v>241</v>
      </c>
      <c r="E137" s="158" t="s">
        <v>360</v>
      </c>
      <c r="F137" s="142" t="s">
        <v>142</v>
      </c>
      <c r="G137" s="141">
        <v>102005</v>
      </c>
      <c r="H137" s="141" t="s">
        <v>112</v>
      </c>
      <c r="I137" s="141" t="s">
        <v>247</v>
      </c>
      <c r="J137" s="159" t="s">
        <v>248</v>
      </c>
      <c r="K137" s="160">
        <v>0</v>
      </c>
      <c r="L137" s="141"/>
      <c r="M137" s="161">
        <v>51190.35</v>
      </c>
      <c r="N137" s="161">
        <v>0</v>
      </c>
      <c r="O137" s="161">
        <v>0</v>
      </c>
      <c r="P137" s="161">
        <v>0</v>
      </c>
      <c r="Q137" s="104">
        <f t="shared" si="9"/>
        <v>51190.35</v>
      </c>
      <c r="R137" s="104"/>
      <c r="S137" s="66">
        <f t="shared" ref="S137:S200" si="10">M137*$S$7*1.141</f>
        <v>5840.8189350000002</v>
      </c>
    </row>
    <row r="138" spans="1:19" ht="15" x14ac:dyDescent="0.25">
      <c r="A138" s="141" t="s">
        <v>148</v>
      </c>
      <c r="B138" s="141" t="s">
        <v>304</v>
      </c>
      <c r="C138" s="141" t="s">
        <v>158</v>
      </c>
      <c r="D138" s="142" t="s">
        <v>241</v>
      </c>
      <c r="E138" s="158" t="s">
        <v>360</v>
      </c>
      <c r="F138" s="142" t="s">
        <v>142</v>
      </c>
      <c r="G138" s="141">
        <v>102060</v>
      </c>
      <c r="H138" s="141" t="s">
        <v>254</v>
      </c>
      <c r="I138" s="141" t="s">
        <v>247</v>
      </c>
      <c r="J138" s="159" t="s">
        <v>248</v>
      </c>
      <c r="K138" s="160">
        <v>0</v>
      </c>
      <c r="L138" s="141"/>
      <c r="M138" s="161">
        <v>0</v>
      </c>
      <c r="N138" s="161">
        <v>0</v>
      </c>
      <c r="O138" s="161">
        <v>0</v>
      </c>
      <c r="P138" s="161">
        <v>0</v>
      </c>
      <c r="Q138" s="104">
        <f t="shared" si="9"/>
        <v>0</v>
      </c>
      <c r="R138" s="104"/>
      <c r="S138" s="66">
        <f t="shared" si="10"/>
        <v>0</v>
      </c>
    </row>
    <row r="139" spans="1:19" ht="15" x14ac:dyDescent="0.25">
      <c r="A139" s="141" t="s">
        <v>148</v>
      </c>
      <c r="B139" s="141" t="s">
        <v>304</v>
      </c>
      <c r="C139" s="141" t="s">
        <v>158</v>
      </c>
      <c r="D139" s="142" t="s">
        <v>241</v>
      </c>
      <c r="E139" s="158" t="s">
        <v>360</v>
      </c>
      <c r="F139" s="142" t="s">
        <v>142</v>
      </c>
      <c r="G139" s="141">
        <v>102062</v>
      </c>
      <c r="H139" s="141" t="s">
        <v>113</v>
      </c>
      <c r="I139" s="141" t="s">
        <v>247</v>
      </c>
      <c r="J139" s="159" t="s">
        <v>248</v>
      </c>
      <c r="K139" s="160">
        <v>0</v>
      </c>
      <c r="L139" s="141"/>
      <c r="M139" s="161">
        <v>2723.84</v>
      </c>
      <c r="N139" s="161">
        <v>0</v>
      </c>
      <c r="O139" s="161">
        <v>0</v>
      </c>
      <c r="P139" s="161">
        <v>0</v>
      </c>
      <c r="Q139" s="104">
        <f t="shared" si="9"/>
        <v>2723.84</v>
      </c>
      <c r="R139" s="104"/>
      <c r="S139" s="66">
        <f t="shared" si="10"/>
        <v>310.790144</v>
      </c>
    </row>
    <row r="140" spans="1:19" ht="15" x14ac:dyDescent="0.25">
      <c r="A140" s="141" t="s">
        <v>148</v>
      </c>
      <c r="B140" s="141" t="s">
        <v>304</v>
      </c>
      <c r="C140" s="141" t="s">
        <v>158</v>
      </c>
      <c r="D140" s="142" t="s">
        <v>241</v>
      </c>
      <c r="E140" s="158" t="s">
        <v>360</v>
      </c>
      <c r="F140" s="142" t="s">
        <v>142</v>
      </c>
      <c r="G140" s="141">
        <v>103001</v>
      </c>
      <c r="H140" s="141" t="s">
        <v>109</v>
      </c>
      <c r="I140" s="141" t="s">
        <v>247</v>
      </c>
      <c r="J140" s="159" t="s">
        <v>248</v>
      </c>
      <c r="K140" s="160">
        <v>0</v>
      </c>
      <c r="L140" s="141"/>
      <c r="M140" s="161">
        <v>17873.71</v>
      </c>
      <c r="N140" s="161">
        <v>0</v>
      </c>
      <c r="O140" s="161">
        <v>40000</v>
      </c>
      <c r="P140" s="161">
        <v>40000</v>
      </c>
      <c r="Q140" s="104">
        <f t="shared" si="9"/>
        <v>-22126.29</v>
      </c>
      <c r="R140" s="129"/>
      <c r="S140" s="66">
        <f t="shared" si="10"/>
        <v>2039.3903110000001</v>
      </c>
    </row>
    <row r="141" spans="1:19" ht="15" x14ac:dyDescent="0.25">
      <c r="A141" s="141" t="s">
        <v>148</v>
      </c>
      <c r="B141" s="141" t="s">
        <v>304</v>
      </c>
      <c r="C141" s="141" t="s">
        <v>158</v>
      </c>
      <c r="D141" s="142" t="s">
        <v>241</v>
      </c>
      <c r="E141" s="158" t="s">
        <v>360</v>
      </c>
      <c r="F141" s="142" t="s">
        <v>142</v>
      </c>
      <c r="G141" s="141">
        <v>103001</v>
      </c>
      <c r="H141" s="141" t="s">
        <v>109</v>
      </c>
      <c r="I141" s="141" t="s">
        <v>247</v>
      </c>
      <c r="J141" s="159" t="s">
        <v>297</v>
      </c>
      <c r="K141" s="160">
        <v>0</v>
      </c>
      <c r="L141" s="141"/>
      <c r="M141" s="161">
        <v>7155.8</v>
      </c>
      <c r="N141" s="161">
        <v>0</v>
      </c>
      <c r="O141" s="161">
        <v>0</v>
      </c>
      <c r="P141" s="161">
        <v>0</v>
      </c>
      <c r="Q141" s="104">
        <f t="shared" si="9"/>
        <v>7155.8</v>
      </c>
      <c r="R141" s="129"/>
      <c r="S141" s="66">
        <f t="shared" si="10"/>
        <v>816.47678000000008</v>
      </c>
    </row>
    <row r="142" spans="1:19" ht="15" x14ac:dyDescent="0.25">
      <c r="A142" s="141" t="s">
        <v>148</v>
      </c>
      <c r="B142" s="141" t="s">
        <v>304</v>
      </c>
      <c r="C142" s="141" t="s">
        <v>158</v>
      </c>
      <c r="D142" s="142" t="s">
        <v>241</v>
      </c>
      <c r="E142" s="158" t="s">
        <v>360</v>
      </c>
      <c r="F142" s="142" t="s">
        <v>142</v>
      </c>
      <c r="G142" s="141">
        <v>103069</v>
      </c>
      <c r="H142" s="141" t="s">
        <v>214</v>
      </c>
      <c r="I142" s="141" t="s">
        <v>247</v>
      </c>
      <c r="J142" s="159" t="s">
        <v>248</v>
      </c>
      <c r="K142" s="160">
        <v>0</v>
      </c>
      <c r="L142" s="141"/>
      <c r="M142" s="161">
        <v>2446.38</v>
      </c>
      <c r="N142" s="161">
        <v>0</v>
      </c>
      <c r="O142" s="161">
        <v>0</v>
      </c>
      <c r="P142" s="161">
        <v>0</v>
      </c>
      <c r="Q142" s="104">
        <f t="shared" si="9"/>
        <v>2446.38</v>
      </c>
      <c r="R142" s="104"/>
      <c r="S142" s="66">
        <f t="shared" si="10"/>
        <v>279.13195800000005</v>
      </c>
    </row>
    <row r="143" spans="1:19" ht="15" x14ac:dyDescent="0.25">
      <c r="A143" s="141" t="s">
        <v>148</v>
      </c>
      <c r="B143" s="141" t="s">
        <v>304</v>
      </c>
      <c r="C143" s="141" t="s">
        <v>158</v>
      </c>
      <c r="D143" s="142" t="s">
        <v>241</v>
      </c>
      <c r="E143" s="158" t="s">
        <v>360</v>
      </c>
      <c r="F143" s="142" t="s">
        <v>142</v>
      </c>
      <c r="G143" s="141">
        <v>104000</v>
      </c>
      <c r="H143" s="141" t="s">
        <v>110</v>
      </c>
      <c r="I143" s="141" t="s">
        <v>247</v>
      </c>
      <c r="J143" s="159" t="s">
        <v>248</v>
      </c>
      <c r="K143" s="160">
        <v>0</v>
      </c>
      <c r="L143" s="141"/>
      <c r="M143" s="161">
        <v>78404.88</v>
      </c>
      <c r="N143" s="161">
        <v>51000</v>
      </c>
      <c r="O143" s="161">
        <v>1000</v>
      </c>
      <c r="P143" s="161">
        <v>52000</v>
      </c>
      <c r="Q143" s="104">
        <f t="shared" si="9"/>
        <v>26404.880000000005</v>
      </c>
      <c r="R143" s="104"/>
      <c r="S143" s="66">
        <f t="shared" si="10"/>
        <v>8945.9968080000017</v>
      </c>
    </row>
    <row r="144" spans="1:19" ht="15" x14ac:dyDescent="0.25">
      <c r="A144" s="141" t="s">
        <v>148</v>
      </c>
      <c r="B144" s="141" t="s">
        <v>304</v>
      </c>
      <c r="C144" s="141" t="s">
        <v>158</v>
      </c>
      <c r="D144" s="142" t="s">
        <v>241</v>
      </c>
      <c r="E144" s="158" t="s">
        <v>360</v>
      </c>
      <c r="F144" s="142" t="s">
        <v>142</v>
      </c>
      <c r="G144" s="141">
        <v>105010</v>
      </c>
      <c r="H144" s="141" t="s">
        <v>118</v>
      </c>
      <c r="I144" s="141" t="s">
        <v>247</v>
      </c>
      <c r="J144" s="159" t="s">
        <v>248</v>
      </c>
      <c r="K144" s="160">
        <v>0</v>
      </c>
      <c r="L144" s="141"/>
      <c r="M144" s="161">
        <v>7241.89</v>
      </c>
      <c r="N144" s="161">
        <v>0</v>
      </c>
      <c r="O144" s="161">
        <v>0</v>
      </c>
      <c r="P144" s="161">
        <v>0</v>
      </c>
      <c r="Q144" s="104">
        <f t="shared" si="9"/>
        <v>7241.89</v>
      </c>
      <c r="R144" s="104"/>
      <c r="S144" s="66">
        <f t="shared" si="10"/>
        <v>826.29964900000004</v>
      </c>
    </row>
    <row r="145" spans="1:19" ht="15" x14ac:dyDescent="0.25">
      <c r="A145" s="141" t="s">
        <v>148</v>
      </c>
      <c r="B145" s="141" t="s">
        <v>304</v>
      </c>
      <c r="C145" s="141" t="s">
        <v>158</v>
      </c>
      <c r="D145" s="142" t="s">
        <v>241</v>
      </c>
      <c r="E145" s="158" t="s">
        <v>360</v>
      </c>
      <c r="F145" s="142" t="s">
        <v>142</v>
      </c>
      <c r="G145" s="141">
        <v>105019</v>
      </c>
      <c r="H145" s="141" t="s">
        <v>111</v>
      </c>
      <c r="I145" s="141" t="s">
        <v>247</v>
      </c>
      <c r="J145" s="159" t="s">
        <v>248</v>
      </c>
      <c r="K145" s="160">
        <v>0</v>
      </c>
      <c r="L145" s="141"/>
      <c r="M145" s="161">
        <v>439.61</v>
      </c>
      <c r="N145" s="161">
        <v>0</v>
      </c>
      <c r="O145" s="161">
        <v>0</v>
      </c>
      <c r="P145" s="161">
        <v>0</v>
      </c>
      <c r="Q145" s="104">
        <f t="shared" si="9"/>
        <v>439.61</v>
      </c>
      <c r="R145" s="104"/>
      <c r="S145" s="66">
        <f t="shared" si="10"/>
        <v>50.159501000000006</v>
      </c>
    </row>
    <row r="146" spans="1:19" ht="15" x14ac:dyDescent="0.25">
      <c r="A146" s="141" t="s">
        <v>148</v>
      </c>
      <c r="B146" s="141" t="s">
        <v>304</v>
      </c>
      <c r="C146" s="141" t="s">
        <v>158</v>
      </c>
      <c r="D146" s="142" t="s">
        <v>241</v>
      </c>
      <c r="E146" s="158" t="s">
        <v>360</v>
      </c>
      <c r="F146" s="142" t="s">
        <v>142</v>
      </c>
      <c r="G146" s="141">
        <v>105098</v>
      </c>
      <c r="H146" s="141" t="s">
        <v>265</v>
      </c>
      <c r="I146" s="141" t="s">
        <v>247</v>
      </c>
      <c r="J146" s="159" t="s">
        <v>302</v>
      </c>
      <c r="K146" s="160">
        <v>0</v>
      </c>
      <c r="L146" s="141"/>
      <c r="M146" s="161">
        <v>-4392</v>
      </c>
      <c r="N146" s="161">
        <v>0</v>
      </c>
      <c r="O146" s="161">
        <v>0</v>
      </c>
      <c r="P146" s="161">
        <v>0</v>
      </c>
      <c r="Q146" s="104">
        <f t="shared" si="9"/>
        <v>-4392</v>
      </c>
      <c r="R146" s="104"/>
      <c r="S146" s="66">
        <f t="shared" si="10"/>
        <v>-501.12720000000007</v>
      </c>
    </row>
    <row r="147" spans="1:19" ht="15" x14ac:dyDescent="0.25">
      <c r="A147" s="141" t="s">
        <v>148</v>
      </c>
      <c r="B147" s="141" t="s">
        <v>304</v>
      </c>
      <c r="C147" s="141" t="s">
        <v>158</v>
      </c>
      <c r="D147" s="142" t="s">
        <v>241</v>
      </c>
      <c r="E147" s="158" t="s">
        <v>360</v>
      </c>
      <c r="F147" s="142" t="s">
        <v>142</v>
      </c>
      <c r="G147" s="141">
        <v>105099</v>
      </c>
      <c r="H147" s="141" t="s">
        <v>103</v>
      </c>
      <c r="I147" s="141" t="s">
        <v>247</v>
      </c>
      <c r="J147" s="159" t="s">
        <v>303</v>
      </c>
      <c r="K147" s="160">
        <v>0</v>
      </c>
      <c r="L147" s="141"/>
      <c r="M147" s="161">
        <v>4392</v>
      </c>
      <c r="N147" s="161">
        <v>0</v>
      </c>
      <c r="O147" s="161">
        <v>0</v>
      </c>
      <c r="P147" s="161">
        <v>0</v>
      </c>
      <c r="Q147" s="104">
        <f t="shared" si="9"/>
        <v>4392</v>
      </c>
      <c r="R147" s="104"/>
      <c r="S147" s="66">
        <f t="shared" si="10"/>
        <v>501.12720000000007</v>
      </c>
    </row>
    <row r="148" spans="1:19" ht="15" x14ac:dyDescent="0.25">
      <c r="A148" s="141" t="s">
        <v>148</v>
      </c>
      <c r="B148" s="141" t="s">
        <v>304</v>
      </c>
      <c r="C148" s="141" t="s">
        <v>158</v>
      </c>
      <c r="D148" s="142" t="s">
        <v>241</v>
      </c>
      <c r="E148" s="158" t="s">
        <v>360</v>
      </c>
      <c r="F148" s="142" t="s">
        <v>142</v>
      </c>
      <c r="G148" s="144">
        <v>109001</v>
      </c>
      <c r="H148" s="141" t="s">
        <v>101</v>
      </c>
      <c r="I148" s="141" t="s">
        <v>247</v>
      </c>
      <c r="J148" s="159" t="s">
        <v>248</v>
      </c>
      <c r="K148" s="160">
        <v>0</v>
      </c>
      <c r="L148" s="141"/>
      <c r="M148" s="161">
        <v>621434.62</v>
      </c>
      <c r="N148" s="161">
        <v>573000</v>
      </c>
      <c r="O148" s="161">
        <v>21000</v>
      </c>
      <c r="P148" s="161">
        <v>594000</v>
      </c>
      <c r="Q148" s="104">
        <f t="shared" si="9"/>
        <v>27434.619999999995</v>
      </c>
      <c r="R148" s="129">
        <f t="shared" ref="R148:R149" si="11">M148*-1.141</f>
        <v>-709056.90142000001</v>
      </c>
    </row>
    <row r="149" spans="1:19" ht="15" x14ac:dyDescent="0.25">
      <c r="A149" s="141" t="s">
        <v>148</v>
      </c>
      <c r="B149" s="141" t="s">
        <v>304</v>
      </c>
      <c r="C149" s="141" t="s">
        <v>158</v>
      </c>
      <c r="D149" s="142" t="s">
        <v>241</v>
      </c>
      <c r="E149" s="158" t="s">
        <v>360</v>
      </c>
      <c r="F149" s="142" t="s">
        <v>142</v>
      </c>
      <c r="G149" s="144">
        <v>109001</v>
      </c>
      <c r="H149" s="141" t="s">
        <v>101</v>
      </c>
      <c r="I149" s="141" t="s">
        <v>247</v>
      </c>
      <c r="J149" s="159" t="s">
        <v>297</v>
      </c>
      <c r="K149" s="160">
        <v>0</v>
      </c>
      <c r="L149" s="141"/>
      <c r="M149" s="161">
        <v>1380.4</v>
      </c>
      <c r="N149" s="161">
        <v>0</v>
      </c>
      <c r="O149" s="161">
        <v>0</v>
      </c>
      <c r="P149" s="161">
        <v>0</v>
      </c>
      <c r="Q149" s="104">
        <f t="shared" si="9"/>
        <v>1380.4</v>
      </c>
      <c r="R149" s="129">
        <f t="shared" si="11"/>
        <v>-1575.0364000000002</v>
      </c>
    </row>
    <row r="150" spans="1:19" ht="15" x14ac:dyDescent="0.25">
      <c r="A150" s="141" t="s">
        <v>148</v>
      </c>
      <c r="B150" s="141" t="s">
        <v>304</v>
      </c>
      <c r="C150" s="141" t="s">
        <v>158</v>
      </c>
      <c r="D150" s="142" t="s">
        <v>241</v>
      </c>
      <c r="E150" s="158" t="s">
        <v>360</v>
      </c>
      <c r="F150" s="142" t="s">
        <v>142</v>
      </c>
      <c r="G150" s="144">
        <v>109901</v>
      </c>
      <c r="H150" s="141" t="s">
        <v>102</v>
      </c>
      <c r="I150" s="141" t="s">
        <v>247</v>
      </c>
      <c r="J150" s="159" t="s">
        <v>248</v>
      </c>
      <c r="K150" s="160">
        <v>0</v>
      </c>
      <c r="L150" s="141"/>
      <c r="M150" s="161">
        <v>949538.09</v>
      </c>
      <c r="N150" s="161">
        <v>940000</v>
      </c>
      <c r="O150" s="161">
        <v>34000</v>
      </c>
      <c r="P150" s="161">
        <v>974000</v>
      </c>
      <c r="Q150" s="104">
        <f t="shared" si="9"/>
        <v>-24461.910000000033</v>
      </c>
      <c r="R150" s="104"/>
    </row>
    <row r="151" spans="1:19" ht="15" x14ac:dyDescent="0.25">
      <c r="A151" s="141" t="s">
        <v>148</v>
      </c>
      <c r="B151" s="141" t="s">
        <v>304</v>
      </c>
      <c r="C151" s="141" t="s">
        <v>158</v>
      </c>
      <c r="D151" s="142" t="s">
        <v>241</v>
      </c>
      <c r="E151" s="158" t="s">
        <v>360</v>
      </c>
      <c r="F151" s="142" t="s">
        <v>142</v>
      </c>
      <c r="G151" s="144">
        <v>109901</v>
      </c>
      <c r="H151" s="141" t="s">
        <v>102</v>
      </c>
      <c r="I151" s="141" t="s">
        <v>247</v>
      </c>
      <c r="J151" s="159" t="s">
        <v>303</v>
      </c>
      <c r="K151" s="160">
        <v>0</v>
      </c>
      <c r="L151" s="141"/>
      <c r="M151" s="161">
        <v>619.32000000000005</v>
      </c>
      <c r="N151" s="161">
        <v>0</v>
      </c>
      <c r="O151" s="161">
        <v>0</v>
      </c>
      <c r="P151" s="161">
        <v>0</v>
      </c>
      <c r="Q151" s="104">
        <f t="shared" si="9"/>
        <v>619.32000000000005</v>
      </c>
      <c r="R151" s="104"/>
    </row>
    <row r="152" spans="1:19" ht="15" x14ac:dyDescent="0.25">
      <c r="A152" s="141" t="s">
        <v>148</v>
      </c>
      <c r="B152" s="141" t="s">
        <v>304</v>
      </c>
      <c r="C152" s="141" t="s">
        <v>158</v>
      </c>
      <c r="D152" s="142" t="s">
        <v>241</v>
      </c>
      <c r="E152" s="158" t="s">
        <v>360</v>
      </c>
      <c r="F152" s="142" t="s">
        <v>142</v>
      </c>
      <c r="G152" s="144">
        <v>109901</v>
      </c>
      <c r="H152" s="141" t="s">
        <v>102</v>
      </c>
      <c r="I152" s="141" t="s">
        <v>247</v>
      </c>
      <c r="J152" s="159" t="s">
        <v>297</v>
      </c>
      <c r="K152" s="160">
        <v>0</v>
      </c>
      <c r="L152" s="141"/>
      <c r="M152" s="161">
        <v>2248.6799999999998</v>
      </c>
      <c r="N152" s="161">
        <v>0</v>
      </c>
      <c r="O152" s="161">
        <v>0</v>
      </c>
      <c r="P152" s="161">
        <v>0</v>
      </c>
      <c r="Q152" s="104">
        <f t="shared" si="9"/>
        <v>2248.6799999999998</v>
      </c>
      <c r="R152" s="104"/>
    </row>
    <row r="153" spans="1:19" ht="15" x14ac:dyDescent="0.25">
      <c r="A153" s="141" t="s">
        <v>148</v>
      </c>
      <c r="B153" s="141" t="s">
        <v>305</v>
      </c>
      <c r="C153" s="141" t="s">
        <v>159</v>
      </c>
      <c r="D153" s="142" t="s">
        <v>241</v>
      </c>
      <c r="E153" s="158" t="s">
        <v>360</v>
      </c>
      <c r="F153" s="142" t="s">
        <v>142</v>
      </c>
      <c r="G153" s="141">
        <v>101001</v>
      </c>
      <c r="H153" s="141" t="s">
        <v>104</v>
      </c>
      <c r="I153" s="141" t="s">
        <v>247</v>
      </c>
      <c r="J153" s="159" t="s">
        <v>248</v>
      </c>
      <c r="K153" s="160">
        <v>0</v>
      </c>
      <c r="L153" s="141"/>
      <c r="M153" s="161">
        <v>10648798.67</v>
      </c>
      <c r="N153" s="161">
        <v>10460000</v>
      </c>
      <c r="O153" s="161">
        <v>181000</v>
      </c>
      <c r="P153" s="161">
        <v>10641000</v>
      </c>
      <c r="Q153" s="104">
        <f t="shared" si="9"/>
        <v>7798.6699999999255</v>
      </c>
      <c r="R153" s="104"/>
      <c r="S153" s="66">
        <f t="shared" si="10"/>
        <v>1215027.9282470001</v>
      </c>
    </row>
    <row r="154" spans="1:19" ht="15" x14ac:dyDescent="0.25">
      <c r="A154" s="141" t="s">
        <v>148</v>
      </c>
      <c r="B154" s="141" t="s">
        <v>305</v>
      </c>
      <c r="C154" s="141" t="s">
        <v>159</v>
      </c>
      <c r="D154" s="142" t="s">
        <v>241</v>
      </c>
      <c r="E154" s="158" t="s">
        <v>360</v>
      </c>
      <c r="F154" s="142" t="s">
        <v>142</v>
      </c>
      <c r="G154" s="141">
        <v>101002</v>
      </c>
      <c r="H154" s="141" t="s">
        <v>105</v>
      </c>
      <c r="I154" s="141" t="s">
        <v>247</v>
      </c>
      <c r="J154" s="159" t="s">
        <v>248</v>
      </c>
      <c r="K154" s="160">
        <v>0</v>
      </c>
      <c r="L154" s="141"/>
      <c r="M154" s="161">
        <v>-20952.02</v>
      </c>
      <c r="N154" s="161">
        <v>0</v>
      </c>
      <c r="O154" s="161">
        <v>0</v>
      </c>
      <c r="P154" s="161">
        <v>0</v>
      </c>
      <c r="Q154" s="104">
        <f t="shared" si="9"/>
        <v>-20952.02</v>
      </c>
      <c r="R154" s="104"/>
      <c r="S154" s="66">
        <f t="shared" si="10"/>
        <v>-2390.6254820000004</v>
      </c>
    </row>
    <row r="155" spans="1:19" ht="15" x14ac:dyDescent="0.25">
      <c r="A155" s="141" t="s">
        <v>148</v>
      </c>
      <c r="B155" s="141" t="s">
        <v>305</v>
      </c>
      <c r="C155" s="141" t="s">
        <v>159</v>
      </c>
      <c r="D155" s="142" t="s">
        <v>241</v>
      </c>
      <c r="E155" s="158" t="s">
        <v>360</v>
      </c>
      <c r="F155" s="142" t="s">
        <v>142</v>
      </c>
      <c r="G155" s="141">
        <v>101002</v>
      </c>
      <c r="H155" s="141" t="s">
        <v>105</v>
      </c>
      <c r="I155" s="141" t="s">
        <v>247</v>
      </c>
      <c r="J155" s="159" t="s">
        <v>297</v>
      </c>
      <c r="K155" s="160">
        <v>0</v>
      </c>
      <c r="L155" s="141"/>
      <c r="M155" s="161">
        <v>10871.88</v>
      </c>
      <c r="N155" s="161">
        <v>0</v>
      </c>
      <c r="O155" s="161">
        <v>0</v>
      </c>
      <c r="P155" s="161">
        <v>0</v>
      </c>
      <c r="Q155" s="104">
        <f t="shared" si="9"/>
        <v>10871.88</v>
      </c>
      <c r="R155" s="104"/>
      <c r="S155" s="66">
        <f t="shared" si="10"/>
        <v>1240.4815079999998</v>
      </c>
    </row>
    <row r="156" spans="1:19" ht="15" x14ac:dyDescent="0.25">
      <c r="A156" s="141" t="s">
        <v>148</v>
      </c>
      <c r="B156" s="141" t="s">
        <v>305</v>
      </c>
      <c r="C156" s="141" t="s">
        <v>159</v>
      </c>
      <c r="D156" s="142" t="s">
        <v>241</v>
      </c>
      <c r="E156" s="158" t="s">
        <v>360</v>
      </c>
      <c r="F156" s="142" t="s">
        <v>142</v>
      </c>
      <c r="G156" s="141">
        <v>101002</v>
      </c>
      <c r="H156" s="141" t="s">
        <v>105</v>
      </c>
      <c r="I156" s="141" t="s">
        <v>247</v>
      </c>
      <c r="J156" s="159" t="s">
        <v>286</v>
      </c>
      <c r="K156" s="160">
        <v>0</v>
      </c>
      <c r="L156" s="141"/>
      <c r="M156" s="161">
        <v>1858.34</v>
      </c>
      <c r="N156" s="161">
        <v>0</v>
      </c>
      <c r="O156" s="161">
        <v>0</v>
      </c>
      <c r="P156" s="161">
        <v>0</v>
      </c>
      <c r="Q156" s="104">
        <f t="shared" si="9"/>
        <v>1858.34</v>
      </c>
      <c r="R156" s="104"/>
      <c r="S156" s="66">
        <f t="shared" si="10"/>
        <v>212.03659400000001</v>
      </c>
    </row>
    <row r="157" spans="1:19" ht="15" x14ac:dyDescent="0.25">
      <c r="A157" s="141" t="s">
        <v>148</v>
      </c>
      <c r="B157" s="141" t="s">
        <v>305</v>
      </c>
      <c r="C157" s="141" t="s">
        <v>159</v>
      </c>
      <c r="D157" s="142" t="s">
        <v>241</v>
      </c>
      <c r="E157" s="158" t="s">
        <v>360</v>
      </c>
      <c r="F157" s="142" t="s">
        <v>142</v>
      </c>
      <c r="G157" s="141">
        <v>101039</v>
      </c>
      <c r="H157" s="141" t="s">
        <v>107</v>
      </c>
      <c r="I157" s="141" t="s">
        <v>247</v>
      </c>
      <c r="J157" s="159" t="s">
        <v>248</v>
      </c>
      <c r="K157" s="160">
        <v>0</v>
      </c>
      <c r="L157" s="141"/>
      <c r="M157" s="161">
        <v>296016.14</v>
      </c>
      <c r="N157" s="161">
        <v>0</v>
      </c>
      <c r="O157" s="161">
        <v>0</v>
      </c>
      <c r="P157" s="161">
        <v>0</v>
      </c>
      <c r="Q157" s="104">
        <f t="shared" si="9"/>
        <v>296016.14</v>
      </c>
      <c r="R157" s="104"/>
      <c r="S157" s="66">
        <f t="shared" si="10"/>
        <v>33775.441574000004</v>
      </c>
    </row>
    <row r="158" spans="1:19" ht="15" x14ac:dyDescent="0.25">
      <c r="A158" s="141" t="s">
        <v>148</v>
      </c>
      <c r="B158" s="141" t="s">
        <v>305</v>
      </c>
      <c r="C158" s="141" t="s">
        <v>159</v>
      </c>
      <c r="D158" s="142" t="s">
        <v>241</v>
      </c>
      <c r="E158" s="158" t="s">
        <v>360</v>
      </c>
      <c r="F158" s="142" t="s">
        <v>142</v>
      </c>
      <c r="G158" s="141">
        <v>102002</v>
      </c>
      <c r="H158" s="141" t="s">
        <v>108</v>
      </c>
      <c r="I158" s="141" t="s">
        <v>247</v>
      </c>
      <c r="J158" s="159" t="s">
        <v>248</v>
      </c>
      <c r="K158" s="160">
        <v>0</v>
      </c>
      <c r="L158" s="141"/>
      <c r="M158" s="161">
        <v>24395</v>
      </c>
      <c r="N158" s="161">
        <v>0</v>
      </c>
      <c r="O158" s="161">
        <v>0</v>
      </c>
      <c r="P158" s="161">
        <v>0</v>
      </c>
      <c r="Q158" s="104">
        <f t="shared" si="9"/>
        <v>24395</v>
      </c>
      <c r="R158" s="104"/>
      <c r="S158" s="66">
        <f t="shared" si="10"/>
        <v>2783.4695000000002</v>
      </c>
    </row>
    <row r="159" spans="1:19" ht="15" x14ac:dyDescent="0.25">
      <c r="A159" s="141" t="s">
        <v>148</v>
      </c>
      <c r="B159" s="141" t="s">
        <v>305</v>
      </c>
      <c r="C159" s="141" t="s">
        <v>159</v>
      </c>
      <c r="D159" s="142" t="s">
        <v>241</v>
      </c>
      <c r="E159" s="158" t="s">
        <v>360</v>
      </c>
      <c r="F159" s="142" t="s">
        <v>142</v>
      </c>
      <c r="G159" s="141">
        <v>102002</v>
      </c>
      <c r="H159" s="141" t="s">
        <v>108</v>
      </c>
      <c r="I159" s="141" t="s">
        <v>247</v>
      </c>
      <c r="J159" s="159" t="s">
        <v>297</v>
      </c>
      <c r="K159" s="160">
        <v>0</v>
      </c>
      <c r="L159" s="141"/>
      <c r="M159" s="161">
        <v>2317.15</v>
      </c>
      <c r="N159" s="161">
        <v>0</v>
      </c>
      <c r="O159" s="161">
        <v>0</v>
      </c>
      <c r="P159" s="161">
        <v>0</v>
      </c>
      <c r="Q159" s="104">
        <f t="shared" si="9"/>
        <v>2317.15</v>
      </c>
      <c r="R159" s="104"/>
      <c r="S159" s="66">
        <f t="shared" si="10"/>
        <v>264.38681500000001</v>
      </c>
    </row>
    <row r="160" spans="1:19" ht="15" x14ac:dyDescent="0.25">
      <c r="A160" s="141" t="s">
        <v>148</v>
      </c>
      <c r="B160" s="141" t="s">
        <v>305</v>
      </c>
      <c r="C160" s="141" t="s">
        <v>159</v>
      </c>
      <c r="D160" s="142" t="s">
        <v>241</v>
      </c>
      <c r="E160" s="158" t="s">
        <v>360</v>
      </c>
      <c r="F160" s="142" t="s">
        <v>142</v>
      </c>
      <c r="G160" s="141">
        <v>102003</v>
      </c>
      <c r="H160" s="141" t="s">
        <v>106</v>
      </c>
      <c r="I160" s="141" t="s">
        <v>247</v>
      </c>
      <c r="J160" s="159" t="s">
        <v>248</v>
      </c>
      <c r="K160" s="160">
        <v>0</v>
      </c>
      <c r="L160" s="141"/>
      <c r="M160" s="161">
        <v>495385.71</v>
      </c>
      <c r="N160" s="161">
        <v>264000</v>
      </c>
      <c r="O160" s="161">
        <v>118000</v>
      </c>
      <c r="P160" s="161">
        <v>382000</v>
      </c>
      <c r="Q160" s="104">
        <f t="shared" si="9"/>
        <v>113385.71000000002</v>
      </c>
      <c r="R160" s="104"/>
      <c r="S160" s="66">
        <f t="shared" si="10"/>
        <v>56523.509511000004</v>
      </c>
    </row>
    <row r="161" spans="1:19" ht="15" x14ac:dyDescent="0.25">
      <c r="A161" s="141" t="s">
        <v>148</v>
      </c>
      <c r="B161" s="141" t="s">
        <v>305</v>
      </c>
      <c r="C161" s="141" t="s">
        <v>159</v>
      </c>
      <c r="D161" s="142" t="s">
        <v>241</v>
      </c>
      <c r="E161" s="158" t="s">
        <v>360</v>
      </c>
      <c r="F161" s="142" t="s">
        <v>142</v>
      </c>
      <c r="G161" s="141">
        <v>102003</v>
      </c>
      <c r="H161" s="141" t="s">
        <v>106</v>
      </c>
      <c r="I161" s="141" t="s">
        <v>247</v>
      </c>
      <c r="J161" s="159" t="s">
        <v>288</v>
      </c>
      <c r="K161" s="160">
        <v>0</v>
      </c>
      <c r="L161" s="141"/>
      <c r="M161" s="161">
        <v>2231.4499999999998</v>
      </c>
      <c r="N161" s="161">
        <v>0</v>
      </c>
      <c r="O161" s="161">
        <v>0</v>
      </c>
      <c r="P161" s="161">
        <v>0</v>
      </c>
      <c r="Q161" s="104">
        <f t="shared" si="9"/>
        <v>2231.4499999999998</v>
      </c>
      <c r="R161" s="104"/>
      <c r="S161" s="66">
        <f t="shared" si="10"/>
        <v>254.60844499999999</v>
      </c>
    </row>
    <row r="162" spans="1:19" ht="15" x14ac:dyDescent="0.25">
      <c r="A162" s="141" t="s">
        <v>148</v>
      </c>
      <c r="B162" s="141" t="s">
        <v>305</v>
      </c>
      <c r="C162" s="141" t="s">
        <v>159</v>
      </c>
      <c r="D162" s="142" t="s">
        <v>241</v>
      </c>
      <c r="E162" s="158" t="s">
        <v>360</v>
      </c>
      <c r="F162" s="142" t="s">
        <v>142</v>
      </c>
      <c r="G162" s="141">
        <v>102003</v>
      </c>
      <c r="H162" s="141" t="s">
        <v>106</v>
      </c>
      <c r="I162" s="141" t="s">
        <v>247</v>
      </c>
      <c r="J162" s="159" t="s">
        <v>297</v>
      </c>
      <c r="K162" s="160">
        <v>0</v>
      </c>
      <c r="L162" s="141"/>
      <c r="M162" s="161">
        <v>4713.5</v>
      </c>
      <c r="N162" s="161">
        <v>0</v>
      </c>
      <c r="O162" s="161">
        <v>0</v>
      </c>
      <c r="P162" s="161">
        <v>0</v>
      </c>
      <c r="Q162" s="104">
        <f t="shared" si="9"/>
        <v>4713.5</v>
      </c>
      <c r="R162" s="104"/>
      <c r="S162" s="66">
        <f t="shared" si="10"/>
        <v>537.81035000000008</v>
      </c>
    </row>
    <row r="163" spans="1:19" ht="15" x14ac:dyDescent="0.25">
      <c r="A163" s="141" t="s">
        <v>148</v>
      </c>
      <c r="B163" s="141" t="s">
        <v>305</v>
      </c>
      <c r="C163" s="141" t="s">
        <v>159</v>
      </c>
      <c r="D163" s="142" t="s">
        <v>241</v>
      </c>
      <c r="E163" s="158" t="s">
        <v>360</v>
      </c>
      <c r="F163" s="142" t="s">
        <v>142</v>
      </c>
      <c r="G163" s="141">
        <v>102003</v>
      </c>
      <c r="H163" s="141" t="s">
        <v>106</v>
      </c>
      <c r="I163" s="141" t="s">
        <v>247</v>
      </c>
      <c r="J163" s="159" t="s">
        <v>286</v>
      </c>
      <c r="K163" s="160">
        <v>0</v>
      </c>
      <c r="L163" s="141"/>
      <c r="M163" s="161">
        <v>3347.83</v>
      </c>
      <c r="N163" s="161">
        <v>0</v>
      </c>
      <c r="O163" s="161">
        <v>0</v>
      </c>
      <c r="P163" s="161">
        <v>0</v>
      </c>
      <c r="Q163" s="104">
        <f t="shared" si="9"/>
        <v>3347.83</v>
      </c>
      <c r="R163" s="104"/>
      <c r="S163" s="66">
        <f t="shared" si="10"/>
        <v>381.98740300000003</v>
      </c>
    </row>
    <row r="164" spans="1:19" ht="15" x14ac:dyDescent="0.25">
      <c r="A164" s="141" t="s">
        <v>148</v>
      </c>
      <c r="B164" s="141" t="s">
        <v>305</v>
      </c>
      <c r="C164" s="141" t="s">
        <v>159</v>
      </c>
      <c r="D164" s="142" t="s">
        <v>241</v>
      </c>
      <c r="E164" s="158" t="s">
        <v>360</v>
      </c>
      <c r="F164" s="142" t="s">
        <v>142</v>
      </c>
      <c r="G164" s="141">
        <v>102005</v>
      </c>
      <c r="H164" s="141" t="s">
        <v>112</v>
      </c>
      <c r="I164" s="141" t="s">
        <v>247</v>
      </c>
      <c r="J164" s="159" t="s">
        <v>248</v>
      </c>
      <c r="K164" s="160">
        <v>0</v>
      </c>
      <c r="L164" s="141"/>
      <c r="M164" s="161">
        <v>176132.68</v>
      </c>
      <c r="N164" s="161">
        <v>0</v>
      </c>
      <c r="O164" s="161">
        <v>0</v>
      </c>
      <c r="P164" s="161">
        <v>0</v>
      </c>
      <c r="Q164" s="104">
        <f t="shared" si="9"/>
        <v>176132.68</v>
      </c>
      <c r="R164" s="104"/>
      <c r="S164" s="66">
        <f t="shared" si="10"/>
        <v>20096.738787999999</v>
      </c>
    </row>
    <row r="165" spans="1:19" ht="15" x14ac:dyDescent="0.25">
      <c r="A165" s="141" t="s">
        <v>148</v>
      </c>
      <c r="B165" s="141" t="s">
        <v>305</v>
      </c>
      <c r="C165" s="141" t="s">
        <v>159</v>
      </c>
      <c r="D165" s="142" t="s">
        <v>241</v>
      </c>
      <c r="E165" s="158" t="s">
        <v>360</v>
      </c>
      <c r="F165" s="142" t="s">
        <v>142</v>
      </c>
      <c r="G165" s="141">
        <v>102005</v>
      </c>
      <c r="H165" s="141" t="s">
        <v>112</v>
      </c>
      <c r="I165" s="141" t="s">
        <v>247</v>
      </c>
      <c r="J165" s="159" t="s">
        <v>363</v>
      </c>
      <c r="K165" s="160">
        <v>0</v>
      </c>
      <c r="L165" s="141"/>
      <c r="M165" s="161">
        <v>7704.31</v>
      </c>
      <c r="N165" s="161">
        <v>0</v>
      </c>
      <c r="O165" s="161">
        <v>10000</v>
      </c>
      <c r="P165" s="161">
        <v>10000</v>
      </c>
      <c r="Q165" s="104">
        <f t="shared" si="9"/>
        <v>-2295.6899999999996</v>
      </c>
      <c r="R165" s="129"/>
      <c r="S165" s="66">
        <f t="shared" si="10"/>
        <v>879.06177100000002</v>
      </c>
    </row>
    <row r="166" spans="1:19" ht="15" x14ac:dyDescent="0.25">
      <c r="A166" s="141" t="s">
        <v>148</v>
      </c>
      <c r="B166" s="141" t="s">
        <v>305</v>
      </c>
      <c r="C166" s="141" t="s">
        <v>159</v>
      </c>
      <c r="D166" s="142" t="s">
        <v>241</v>
      </c>
      <c r="E166" s="158" t="s">
        <v>360</v>
      </c>
      <c r="F166" s="142" t="s">
        <v>142</v>
      </c>
      <c r="G166" s="141">
        <v>102062</v>
      </c>
      <c r="H166" s="141" t="s">
        <v>113</v>
      </c>
      <c r="I166" s="141" t="s">
        <v>247</v>
      </c>
      <c r="J166" s="159" t="s">
        <v>248</v>
      </c>
      <c r="K166" s="160">
        <v>0</v>
      </c>
      <c r="L166" s="141"/>
      <c r="M166" s="161">
        <v>7425.6</v>
      </c>
      <c r="N166" s="161">
        <v>0</v>
      </c>
      <c r="O166" s="161">
        <v>0</v>
      </c>
      <c r="P166" s="161">
        <v>0</v>
      </c>
      <c r="Q166" s="104">
        <f t="shared" si="9"/>
        <v>7425.6</v>
      </c>
      <c r="R166" s="129"/>
      <c r="S166" s="66">
        <f t="shared" si="10"/>
        <v>847.26096000000007</v>
      </c>
    </row>
    <row r="167" spans="1:19" ht="15" x14ac:dyDescent="0.25">
      <c r="A167" s="141" t="s">
        <v>148</v>
      </c>
      <c r="B167" s="141" t="s">
        <v>305</v>
      </c>
      <c r="C167" s="141" t="s">
        <v>159</v>
      </c>
      <c r="D167" s="142" t="s">
        <v>241</v>
      </c>
      <c r="E167" s="158" t="s">
        <v>360</v>
      </c>
      <c r="F167" s="142" t="s">
        <v>142</v>
      </c>
      <c r="G167" s="141">
        <v>103001</v>
      </c>
      <c r="H167" s="141" t="s">
        <v>109</v>
      </c>
      <c r="I167" s="141" t="s">
        <v>247</v>
      </c>
      <c r="J167" s="159" t="s">
        <v>248</v>
      </c>
      <c r="K167" s="160">
        <v>0</v>
      </c>
      <c r="L167" s="141"/>
      <c r="M167" s="161">
        <v>98423.28</v>
      </c>
      <c r="N167" s="161">
        <v>0</v>
      </c>
      <c r="O167" s="161">
        <v>0</v>
      </c>
      <c r="P167" s="161">
        <v>0</v>
      </c>
      <c r="Q167" s="104">
        <f t="shared" si="9"/>
        <v>98423.28</v>
      </c>
      <c r="R167" s="129"/>
      <c r="S167" s="66">
        <f t="shared" si="10"/>
        <v>11230.096248000002</v>
      </c>
    </row>
    <row r="168" spans="1:19" ht="15" x14ac:dyDescent="0.25">
      <c r="A168" s="141" t="s">
        <v>148</v>
      </c>
      <c r="B168" s="141" t="s">
        <v>305</v>
      </c>
      <c r="C168" s="141" t="s">
        <v>159</v>
      </c>
      <c r="D168" s="142" t="s">
        <v>241</v>
      </c>
      <c r="E168" s="158" t="s">
        <v>360</v>
      </c>
      <c r="F168" s="142" t="s">
        <v>142</v>
      </c>
      <c r="G168" s="141">
        <v>103001</v>
      </c>
      <c r="H168" s="141" t="s">
        <v>109</v>
      </c>
      <c r="I168" s="141" t="s">
        <v>247</v>
      </c>
      <c r="J168" s="159" t="s">
        <v>297</v>
      </c>
      <c r="K168" s="160">
        <v>0</v>
      </c>
      <c r="L168" s="141"/>
      <c r="M168" s="161">
        <v>8854.4500000000007</v>
      </c>
      <c r="N168" s="161">
        <v>0</v>
      </c>
      <c r="O168" s="161">
        <v>0</v>
      </c>
      <c r="P168" s="161">
        <v>0</v>
      </c>
      <c r="Q168" s="104">
        <f t="shared" si="9"/>
        <v>8854.4500000000007</v>
      </c>
      <c r="R168" s="129"/>
      <c r="S168" s="66">
        <f t="shared" si="10"/>
        <v>1010.2927450000002</v>
      </c>
    </row>
    <row r="169" spans="1:19" ht="15" x14ac:dyDescent="0.25">
      <c r="A169" s="141" t="s">
        <v>148</v>
      </c>
      <c r="B169" s="141" t="s">
        <v>305</v>
      </c>
      <c r="C169" s="141" t="s">
        <v>159</v>
      </c>
      <c r="D169" s="142" t="s">
        <v>241</v>
      </c>
      <c r="E169" s="158" t="s">
        <v>360</v>
      </c>
      <c r="F169" s="142" t="s">
        <v>142</v>
      </c>
      <c r="G169" s="141">
        <v>103062</v>
      </c>
      <c r="H169" s="141" t="s">
        <v>114</v>
      </c>
      <c r="I169" s="141" t="s">
        <v>247</v>
      </c>
      <c r="J169" s="159" t="s">
        <v>248</v>
      </c>
      <c r="K169" s="160">
        <v>0</v>
      </c>
      <c r="L169" s="141"/>
      <c r="M169" s="161">
        <v>1176</v>
      </c>
      <c r="N169" s="161">
        <v>0</v>
      </c>
      <c r="O169" s="161">
        <v>0</v>
      </c>
      <c r="P169" s="161">
        <v>0</v>
      </c>
      <c r="Q169" s="104">
        <f t="shared" si="9"/>
        <v>1176</v>
      </c>
      <c r="R169" s="129"/>
      <c r="S169" s="66">
        <f t="shared" si="10"/>
        <v>134.1816</v>
      </c>
    </row>
    <row r="170" spans="1:19" ht="15" x14ac:dyDescent="0.25">
      <c r="A170" s="141" t="s">
        <v>148</v>
      </c>
      <c r="B170" s="141" t="s">
        <v>305</v>
      </c>
      <c r="C170" s="141" t="s">
        <v>159</v>
      </c>
      <c r="D170" s="142" t="s">
        <v>241</v>
      </c>
      <c r="E170" s="158" t="s">
        <v>360</v>
      </c>
      <c r="F170" s="142" t="s">
        <v>142</v>
      </c>
      <c r="G170" s="141">
        <v>103069</v>
      </c>
      <c r="H170" s="141" t="s">
        <v>214</v>
      </c>
      <c r="I170" s="141" t="s">
        <v>247</v>
      </c>
      <c r="J170" s="159" t="s">
        <v>248</v>
      </c>
      <c r="K170" s="160">
        <v>0</v>
      </c>
      <c r="L170" s="141"/>
      <c r="M170" s="161">
        <v>20006.240000000002</v>
      </c>
      <c r="N170" s="161">
        <v>0</v>
      </c>
      <c r="O170" s="161">
        <v>0</v>
      </c>
      <c r="P170" s="161">
        <v>0</v>
      </c>
      <c r="Q170" s="104">
        <f t="shared" si="9"/>
        <v>20006.240000000002</v>
      </c>
      <c r="R170" s="129"/>
      <c r="S170" s="66">
        <f t="shared" si="10"/>
        <v>2282.7119840000005</v>
      </c>
    </row>
    <row r="171" spans="1:19" ht="15" x14ac:dyDescent="0.25">
      <c r="A171" s="141" t="s">
        <v>148</v>
      </c>
      <c r="B171" s="141" t="s">
        <v>305</v>
      </c>
      <c r="C171" s="141" t="s">
        <v>159</v>
      </c>
      <c r="D171" s="142" t="s">
        <v>241</v>
      </c>
      <c r="E171" s="158" t="s">
        <v>360</v>
      </c>
      <c r="F171" s="142" t="s">
        <v>142</v>
      </c>
      <c r="G171" s="141">
        <v>104000</v>
      </c>
      <c r="H171" s="141" t="s">
        <v>110</v>
      </c>
      <c r="I171" s="141" t="s">
        <v>247</v>
      </c>
      <c r="J171" s="159" t="s">
        <v>248</v>
      </c>
      <c r="K171" s="160">
        <v>0</v>
      </c>
      <c r="L171" s="141"/>
      <c r="M171" s="161">
        <v>45160.160000000003</v>
      </c>
      <c r="N171" s="161">
        <v>89000</v>
      </c>
      <c r="O171" s="161">
        <v>0</v>
      </c>
      <c r="P171" s="161">
        <v>89000</v>
      </c>
      <c r="Q171" s="104">
        <f t="shared" si="9"/>
        <v>-43839.839999999997</v>
      </c>
      <c r="R171" s="129"/>
      <c r="S171" s="66">
        <f t="shared" si="10"/>
        <v>5152.7742560000006</v>
      </c>
    </row>
    <row r="172" spans="1:19" ht="15" x14ac:dyDescent="0.25">
      <c r="A172" s="141" t="s">
        <v>148</v>
      </c>
      <c r="B172" s="141" t="s">
        <v>305</v>
      </c>
      <c r="C172" s="141" t="s">
        <v>159</v>
      </c>
      <c r="D172" s="142" t="s">
        <v>241</v>
      </c>
      <c r="E172" s="158" t="s">
        <v>360</v>
      </c>
      <c r="F172" s="142" t="s">
        <v>142</v>
      </c>
      <c r="G172" s="141">
        <v>105003</v>
      </c>
      <c r="H172" s="141" t="s">
        <v>268</v>
      </c>
      <c r="I172" s="141" t="s">
        <v>247</v>
      </c>
      <c r="J172" s="159" t="s">
        <v>248</v>
      </c>
      <c r="K172" s="160">
        <v>0</v>
      </c>
      <c r="L172" s="141"/>
      <c r="M172" s="163">
        <v>215535.68</v>
      </c>
      <c r="N172" s="161">
        <v>0</v>
      </c>
      <c r="O172" s="161">
        <v>0</v>
      </c>
      <c r="P172" s="161">
        <v>0</v>
      </c>
      <c r="Q172" s="104">
        <f t="shared" si="9"/>
        <v>215535.68</v>
      </c>
      <c r="R172" s="104"/>
      <c r="S172" s="66">
        <f t="shared" si="10"/>
        <v>24592.621088</v>
      </c>
    </row>
    <row r="173" spans="1:19" ht="15" x14ac:dyDescent="0.25">
      <c r="A173" s="141" t="s">
        <v>148</v>
      </c>
      <c r="B173" s="141" t="s">
        <v>305</v>
      </c>
      <c r="C173" s="141" t="s">
        <v>159</v>
      </c>
      <c r="D173" s="142" t="s">
        <v>241</v>
      </c>
      <c r="E173" s="158" t="s">
        <v>360</v>
      </c>
      <c r="F173" s="142" t="s">
        <v>142</v>
      </c>
      <c r="G173" s="141">
        <v>105010</v>
      </c>
      <c r="H173" s="141" t="s">
        <v>118</v>
      </c>
      <c r="I173" s="141" t="s">
        <v>247</v>
      </c>
      <c r="J173" s="159" t="s">
        <v>248</v>
      </c>
      <c r="K173" s="160">
        <v>0</v>
      </c>
      <c r="L173" s="141"/>
      <c r="M173" s="161">
        <v>3400.74</v>
      </c>
      <c r="N173" s="161">
        <v>0</v>
      </c>
      <c r="O173" s="161">
        <v>0</v>
      </c>
      <c r="P173" s="161">
        <v>0</v>
      </c>
      <c r="Q173" s="104">
        <f t="shared" si="9"/>
        <v>3400.74</v>
      </c>
      <c r="R173" s="104"/>
      <c r="S173" s="66">
        <f t="shared" si="10"/>
        <v>388.02443400000004</v>
      </c>
    </row>
    <row r="174" spans="1:19" ht="15" x14ac:dyDescent="0.25">
      <c r="A174" s="141" t="s">
        <v>148</v>
      </c>
      <c r="B174" s="141" t="s">
        <v>305</v>
      </c>
      <c r="C174" s="141" t="s">
        <v>159</v>
      </c>
      <c r="D174" s="142" t="s">
        <v>241</v>
      </c>
      <c r="E174" s="158" t="s">
        <v>360</v>
      </c>
      <c r="F174" s="142" t="s">
        <v>142</v>
      </c>
      <c r="G174" s="141">
        <v>105019</v>
      </c>
      <c r="H174" s="141" t="s">
        <v>111</v>
      </c>
      <c r="I174" s="141" t="s">
        <v>247</v>
      </c>
      <c r="J174" s="159" t="s">
        <v>248</v>
      </c>
      <c r="K174" s="160">
        <v>0</v>
      </c>
      <c r="L174" s="141"/>
      <c r="M174" s="161">
        <v>1349.43</v>
      </c>
      <c r="N174" s="161">
        <v>0</v>
      </c>
      <c r="O174" s="161">
        <v>0</v>
      </c>
      <c r="P174" s="161">
        <v>0</v>
      </c>
      <c r="Q174" s="104">
        <f t="shared" si="9"/>
        <v>1349.43</v>
      </c>
      <c r="R174" s="104"/>
      <c r="S174" s="66">
        <f t="shared" si="10"/>
        <v>153.96996300000001</v>
      </c>
    </row>
    <row r="175" spans="1:19" ht="15" x14ac:dyDescent="0.25">
      <c r="A175" s="141" t="s">
        <v>148</v>
      </c>
      <c r="B175" s="141" t="s">
        <v>305</v>
      </c>
      <c r="C175" s="141" t="s">
        <v>159</v>
      </c>
      <c r="D175" s="142" t="s">
        <v>241</v>
      </c>
      <c r="E175" s="158" t="s">
        <v>360</v>
      </c>
      <c r="F175" s="142" t="s">
        <v>142</v>
      </c>
      <c r="G175" s="141">
        <v>105098</v>
      </c>
      <c r="H175" s="141" t="s">
        <v>265</v>
      </c>
      <c r="I175" s="141" t="s">
        <v>247</v>
      </c>
      <c r="J175" s="159" t="s">
        <v>302</v>
      </c>
      <c r="K175" s="160">
        <v>0</v>
      </c>
      <c r="L175" s="141"/>
      <c r="M175" s="161">
        <v>-4392</v>
      </c>
      <c r="N175" s="161">
        <v>0</v>
      </c>
      <c r="O175" s="161">
        <v>0</v>
      </c>
      <c r="P175" s="161">
        <v>0</v>
      </c>
      <c r="Q175" s="104">
        <f t="shared" si="9"/>
        <v>-4392</v>
      </c>
      <c r="R175" s="104"/>
      <c r="S175" s="66">
        <f t="shared" si="10"/>
        <v>-501.12720000000007</v>
      </c>
    </row>
    <row r="176" spans="1:19" ht="15" x14ac:dyDescent="0.25">
      <c r="A176" s="141" t="s">
        <v>148</v>
      </c>
      <c r="B176" s="141" t="s">
        <v>305</v>
      </c>
      <c r="C176" s="141" t="s">
        <v>159</v>
      </c>
      <c r="D176" s="142" t="s">
        <v>241</v>
      </c>
      <c r="E176" s="158" t="s">
        <v>360</v>
      </c>
      <c r="F176" s="142" t="s">
        <v>142</v>
      </c>
      <c r="G176" s="141">
        <v>105099</v>
      </c>
      <c r="H176" s="141" t="s">
        <v>103</v>
      </c>
      <c r="I176" s="141" t="s">
        <v>247</v>
      </c>
      <c r="J176" s="159" t="s">
        <v>303</v>
      </c>
      <c r="K176" s="160">
        <v>0</v>
      </c>
      <c r="L176" s="141"/>
      <c r="M176" s="161">
        <v>4392</v>
      </c>
      <c r="N176" s="161">
        <v>0</v>
      </c>
      <c r="O176" s="161">
        <v>0</v>
      </c>
      <c r="P176" s="161">
        <v>0</v>
      </c>
      <c r="Q176" s="104">
        <f t="shared" si="9"/>
        <v>4392</v>
      </c>
      <c r="R176" s="104"/>
      <c r="S176" s="66">
        <f t="shared" si="10"/>
        <v>501.12720000000007</v>
      </c>
    </row>
    <row r="177" spans="1:19" ht="15" x14ac:dyDescent="0.25">
      <c r="A177" s="141" t="s">
        <v>148</v>
      </c>
      <c r="B177" s="141" t="s">
        <v>305</v>
      </c>
      <c r="C177" s="141" t="s">
        <v>159</v>
      </c>
      <c r="D177" s="142" t="s">
        <v>241</v>
      </c>
      <c r="E177" s="158" t="s">
        <v>360</v>
      </c>
      <c r="F177" s="142" t="s">
        <v>142</v>
      </c>
      <c r="G177" s="144">
        <v>109001</v>
      </c>
      <c r="H177" s="141" t="s">
        <v>101</v>
      </c>
      <c r="I177" s="141" t="s">
        <v>247</v>
      </c>
      <c r="J177" s="159" t="s">
        <v>248</v>
      </c>
      <c r="K177" s="160">
        <v>0</v>
      </c>
      <c r="L177" s="141"/>
      <c r="M177" s="161">
        <v>1116122.44</v>
      </c>
      <c r="N177" s="161">
        <v>1016000</v>
      </c>
      <c r="O177" s="161">
        <v>29000</v>
      </c>
      <c r="P177" s="161">
        <v>1045000</v>
      </c>
      <c r="Q177" s="104">
        <f t="shared" si="9"/>
        <v>71122.439999999944</v>
      </c>
      <c r="R177" s="129">
        <f t="shared" ref="R177:R181" si="12">M177*-1.141</f>
        <v>-1273495.70404</v>
      </c>
    </row>
    <row r="178" spans="1:19" ht="15" x14ac:dyDescent="0.25">
      <c r="A178" s="141" t="s">
        <v>148</v>
      </c>
      <c r="B178" s="141" t="s">
        <v>305</v>
      </c>
      <c r="C178" s="141" t="s">
        <v>159</v>
      </c>
      <c r="D178" s="142" t="s">
        <v>241</v>
      </c>
      <c r="E178" s="158" t="s">
        <v>360</v>
      </c>
      <c r="F178" s="142" t="s">
        <v>142</v>
      </c>
      <c r="G178" s="144">
        <v>109001</v>
      </c>
      <c r="H178" s="141" t="s">
        <v>101</v>
      </c>
      <c r="I178" s="141" t="s">
        <v>247</v>
      </c>
      <c r="J178" s="159" t="s">
        <v>288</v>
      </c>
      <c r="K178" s="160">
        <v>0</v>
      </c>
      <c r="L178" s="141"/>
      <c r="M178" s="161">
        <v>224.66</v>
      </c>
      <c r="N178" s="161">
        <v>0</v>
      </c>
      <c r="O178" s="161">
        <v>0</v>
      </c>
      <c r="P178" s="161">
        <v>0</v>
      </c>
      <c r="Q178" s="104">
        <f t="shared" si="9"/>
        <v>224.66</v>
      </c>
      <c r="R178" s="129">
        <f t="shared" si="12"/>
        <v>-256.33706000000001</v>
      </c>
    </row>
    <row r="179" spans="1:19" ht="15" x14ac:dyDescent="0.25">
      <c r="A179" s="141" t="s">
        <v>148</v>
      </c>
      <c r="B179" s="141" t="s">
        <v>305</v>
      </c>
      <c r="C179" s="141" t="s">
        <v>159</v>
      </c>
      <c r="D179" s="142" t="s">
        <v>241</v>
      </c>
      <c r="E179" s="158" t="s">
        <v>360</v>
      </c>
      <c r="F179" s="142" t="s">
        <v>142</v>
      </c>
      <c r="G179" s="144">
        <v>109001</v>
      </c>
      <c r="H179" s="141" t="s">
        <v>101</v>
      </c>
      <c r="I179" s="141" t="s">
        <v>247</v>
      </c>
      <c r="J179" s="159" t="s">
        <v>297</v>
      </c>
      <c r="K179" s="160">
        <v>0</v>
      </c>
      <c r="L179" s="141"/>
      <c r="M179" s="161">
        <v>2519.38</v>
      </c>
      <c r="N179" s="161">
        <v>0</v>
      </c>
      <c r="O179" s="161">
        <v>0</v>
      </c>
      <c r="P179" s="161">
        <v>0</v>
      </c>
      <c r="Q179" s="104">
        <f t="shared" si="9"/>
        <v>2519.38</v>
      </c>
      <c r="R179" s="129">
        <f t="shared" si="12"/>
        <v>-2874.61258</v>
      </c>
    </row>
    <row r="180" spans="1:19" ht="15" x14ac:dyDescent="0.25">
      <c r="A180" s="141" t="s">
        <v>148</v>
      </c>
      <c r="B180" s="141" t="s">
        <v>305</v>
      </c>
      <c r="C180" s="141" t="s">
        <v>159</v>
      </c>
      <c r="D180" s="142" t="s">
        <v>241</v>
      </c>
      <c r="E180" s="158" t="s">
        <v>360</v>
      </c>
      <c r="F180" s="142" t="s">
        <v>142</v>
      </c>
      <c r="G180" s="144">
        <v>109001</v>
      </c>
      <c r="H180" s="141" t="s">
        <v>101</v>
      </c>
      <c r="I180" s="141" t="s">
        <v>247</v>
      </c>
      <c r="J180" s="159" t="s">
        <v>286</v>
      </c>
      <c r="K180" s="160">
        <v>0</v>
      </c>
      <c r="L180" s="141"/>
      <c r="M180" s="161">
        <v>311.36</v>
      </c>
      <c r="N180" s="161">
        <v>0</v>
      </c>
      <c r="O180" s="161">
        <v>0</v>
      </c>
      <c r="P180" s="161">
        <v>0</v>
      </c>
      <c r="Q180" s="104">
        <f t="shared" si="9"/>
        <v>311.36</v>
      </c>
      <c r="R180" s="129">
        <f t="shared" si="12"/>
        <v>-355.26176000000004</v>
      </c>
    </row>
    <row r="181" spans="1:19" ht="15" x14ac:dyDescent="0.25">
      <c r="A181" s="141" t="s">
        <v>148</v>
      </c>
      <c r="B181" s="141" t="s">
        <v>305</v>
      </c>
      <c r="C181" s="141" t="s">
        <v>159</v>
      </c>
      <c r="D181" s="142" t="s">
        <v>241</v>
      </c>
      <c r="E181" s="158" t="s">
        <v>360</v>
      </c>
      <c r="F181" s="142" t="s">
        <v>142</v>
      </c>
      <c r="G181" s="144">
        <v>109001</v>
      </c>
      <c r="H181" s="141" t="s">
        <v>101</v>
      </c>
      <c r="I181" s="141" t="s">
        <v>247</v>
      </c>
      <c r="J181" s="159" t="s">
        <v>363</v>
      </c>
      <c r="K181" s="160">
        <v>0</v>
      </c>
      <c r="L181" s="141"/>
      <c r="M181" s="161">
        <v>724.2</v>
      </c>
      <c r="N181" s="161">
        <v>0</v>
      </c>
      <c r="O181" s="161">
        <v>0</v>
      </c>
      <c r="P181" s="161">
        <v>0</v>
      </c>
      <c r="Q181" s="104">
        <f t="shared" si="9"/>
        <v>724.2</v>
      </c>
      <c r="R181" s="129">
        <f t="shared" si="12"/>
        <v>-826.31220000000008</v>
      </c>
    </row>
    <row r="182" spans="1:19" ht="15" x14ac:dyDescent="0.25">
      <c r="A182" s="141" t="s">
        <v>148</v>
      </c>
      <c r="B182" s="141" t="s">
        <v>305</v>
      </c>
      <c r="C182" s="141" t="s">
        <v>159</v>
      </c>
      <c r="D182" s="142" t="s">
        <v>241</v>
      </c>
      <c r="E182" s="158" t="s">
        <v>360</v>
      </c>
      <c r="F182" s="142" t="s">
        <v>142</v>
      </c>
      <c r="G182" s="144">
        <v>109901</v>
      </c>
      <c r="H182" s="141" t="s">
        <v>102</v>
      </c>
      <c r="I182" s="141" t="s">
        <v>247</v>
      </c>
      <c r="J182" s="159" t="s">
        <v>248</v>
      </c>
      <c r="K182" s="160">
        <v>0</v>
      </c>
      <c r="L182" s="141"/>
      <c r="M182" s="161">
        <v>1726926.17</v>
      </c>
      <c r="N182" s="161">
        <v>1666000</v>
      </c>
      <c r="O182" s="161">
        <v>48000</v>
      </c>
      <c r="P182" s="161">
        <v>1714000</v>
      </c>
      <c r="Q182" s="104">
        <f t="shared" si="9"/>
        <v>12926.169999999925</v>
      </c>
      <c r="R182" s="104"/>
    </row>
    <row r="183" spans="1:19" ht="15" x14ac:dyDescent="0.25">
      <c r="A183" s="141" t="s">
        <v>148</v>
      </c>
      <c r="B183" s="141" t="s">
        <v>305</v>
      </c>
      <c r="C183" s="141" t="s">
        <v>159</v>
      </c>
      <c r="D183" s="142" t="s">
        <v>241</v>
      </c>
      <c r="E183" s="158" t="s">
        <v>360</v>
      </c>
      <c r="F183" s="142" t="s">
        <v>142</v>
      </c>
      <c r="G183" s="144">
        <v>109901</v>
      </c>
      <c r="H183" s="141" t="s">
        <v>102</v>
      </c>
      <c r="I183" s="141" t="s">
        <v>247</v>
      </c>
      <c r="J183" s="159" t="s">
        <v>288</v>
      </c>
      <c r="K183" s="160">
        <v>0</v>
      </c>
      <c r="L183" s="141"/>
      <c r="M183" s="161">
        <v>346.31</v>
      </c>
      <c r="N183" s="161">
        <v>0</v>
      </c>
      <c r="O183" s="161">
        <v>0</v>
      </c>
      <c r="P183" s="161">
        <v>0</v>
      </c>
      <c r="Q183" s="104">
        <f t="shared" si="9"/>
        <v>346.31</v>
      </c>
      <c r="R183" s="104"/>
    </row>
    <row r="184" spans="1:19" ht="15" x14ac:dyDescent="0.25">
      <c r="A184" s="141" t="s">
        <v>148</v>
      </c>
      <c r="B184" s="141" t="s">
        <v>305</v>
      </c>
      <c r="C184" s="141" t="s">
        <v>159</v>
      </c>
      <c r="D184" s="142" t="s">
        <v>241</v>
      </c>
      <c r="E184" s="158" t="s">
        <v>360</v>
      </c>
      <c r="F184" s="142" t="s">
        <v>142</v>
      </c>
      <c r="G184" s="144">
        <v>109901</v>
      </c>
      <c r="H184" s="141" t="s">
        <v>102</v>
      </c>
      <c r="I184" s="141" t="s">
        <v>247</v>
      </c>
      <c r="J184" s="159" t="s">
        <v>303</v>
      </c>
      <c r="K184" s="160">
        <v>0</v>
      </c>
      <c r="L184" s="141"/>
      <c r="M184" s="161">
        <v>626.5</v>
      </c>
      <c r="N184" s="161">
        <v>0</v>
      </c>
      <c r="O184" s="161">
        <v>0</v>
      </c>
      <c r="P184" s="161">
        <v>0</v>
      </c>
      <c r="Q184" s="104">
        <f t="shared" si="9"/>
        <v>626.5</v>
      </c>
      <c r="R184" s="104"/>
    </row>
    <row r="185" spans="1:19" ht="15" x14ac:dyDescent="0.25">
      <c r="A185" s="141" t="s">
        <v>148</v>
      </c>
      <c r="B185" s="141" t="s">
        <v>305</v>
      </c>
      <c r="C185" s="141" t="s">
        <v>159</v>
      </c>
      <c r="D185" s="142" t="s">
        <v>241</v>
      </c>
      <c r="E185" s="158" t="s">
        <v>360</v>
      </c>
      <c r="F185" s="142" t="s">
        <v>142</v>
      </c>
      <c r="G185" s="144">
        <v>109901</v>
      </c>
      <c r="H185" s="141" t="s">
        <v>102</v>
      </c>
      <c r="I185" s="141" t="s">
        <v>247</v>
      </c>
      <c r="J185" s="159" t="s">
        <v>297</v>
      </c>
      <c r="K185" s="160">
        <v>0</v>
      </c>
      <c r="L185" s="141"/>
      <c r="M185" s="161">
        <v>4127.97</v>
      </c>
      <c r="N185" s="161">
        <v>0</v>
      </c>
      <c r="O185" s="161">
        <v>0</v>
      </c>
      <c r="P185" s="161">
        <v>0</v>
      </c>
      <c r="Q185" s="104">
        <f t="shared" si="9"/>
        <v>4127.97</v>
      </c>
      <c r="R185" s="104"/>
    </row>
    <row r="186" spans="1:19" ht="15" x14ac:dyDescent="0.25">
      <c r="A186" s="141" t="s">
        <v>148</v>
      </c>
      <c r="B186" s="141" t="s">
        <v>305</v>
      </c>
      <c r="C186" s="141" t="s">
        <v>159</v>
      </c>
      <c r="D186" s="142" t="s">
        <v>241</v>
      </c>
      <c r="E186" s="158" t="s">
        <v>360</v>
      </c>
      <c r="F186" s="142" t="s">
        <v>142</v>
      </c>
      <c r="G186" s="144">
        <v>109901</v>
      </c>
      <c r="H186" s="141" t="s">
        <v>102</v>
      </c>
      <c r="I186" s="141" t="s">
        <v>247</v>
      </c>
      <c r="J186" s="159" t="s">
        <v>286</v>
      </c>
      <c r="K186" s="160">
        <v>0</v>
      </c>
      <c r="L186" s="141"/>
      <c r="M186" s="161">
        <v>777.96</v>
      </c>
      <c r="N186" s="161">
        <v>0</v>
      </c>
      <c r="O186" s="161">
        <v>0</v>
      </c>
      <c r="P186" s="161">
        <v>0</v>
      </c>
      <c r="Q186" s="104">
        <f t="shared" si="9"/>
        <v>777.96</v>
      </c>
      <c r="R186" s="104"/>
    </row>
    <row r="187" spans="1:19" ht="15" x14ac:dyDescent="0.25">
      <c r="A187" s="141" t="s">
        <v>148</v>
      </c>
      <c r="B187" s="141" t="s">
        <v>305</v>
      </c>
      <c r="C187" s="141" t="s">
        <v>159</v>
      </c>
      <c r="D187" s="142" t="s">
        <v>241</v>
      </c>
      <c r="E187" s="158" t="s">
        <v>360</v>
      </c>
      <c r="F187" s="142" t="s">
        <v>142</v>
      </c>
      <c r="G187" s="144">
        <v>109901</v>
      </c>
      <c r="H187" s="141" t="s">
        <v>102</v>
      </c>
      <c r="I187" s="141" t="s">
        <v>247</v>
      </c>
      <c r="J187" s="159" t="s">
        <v>363</v>
      </c>
      <c r="K187" s="160">
        <v>0</v>
      </c>
      <c r="L187" s="141"/>
      <c r="M187" s="161">
        <v>1188.42</v>
      </c>
      <c r="N187" s="161">
        <v>0</v>
      </c>
      <c r="O187" s="161">
        <v>0</v>
      </c>
      <c r="P187" s="161">
        <v>0</v>
      </c>
      <c r="Q187" s="104">
        <f t="shared" si="9"/>
        <v>1188.42</v>
      </c>
      <c r="R187" s="104"/>
    </row>
    <row r="188" spans="1:19" ht="15" x14ac:dyDescent="0.25">
      <c r="A188" s="141" t="s">
        <v>148</v>
      </c>
      <c r="B188" s="141" t="s">
        <v>306</v>
      </c>
      <c r="C188" s="141" t="s">
        <v>160</v>
      </c>
      <c r="D188" s="142" t="s">
        <v>241</v>
      </c>
      <c r="E188" s="158" t="s">
        <v>360</v>
      </c>
      <c r="F188" s="142" t="s">
        <v>142</v>
      </c>
      <c r="G188" s="141">
        <v>101001</v>
      </c>
      <c r="H188" s="141" t="s">
        <v>104</v>
      </c>
      <c r="I188" s="141" t="s">
        <v>247</v>
      </c>
      <c r="J188" s="159" t="s">
        <v>248</v>
      </c>
      <c r="K188" s="160">
        <v>0</v>
      </c>
      <c r="L188" s="141"/>
      <c r="M188" s="161">
        <v>8823510.75</v>
      </c>
      <c r="N188" s="161">
        <v>8892000</v>
      </c>
      <c r="O188" s="161">
        <v>281000</v>
      </c>
      <c r="P188" s="161">
        <v>9173000</v>
      </c>
      <c r="Q188" s="104">
        <f t="shared" si="9"/>
        <v>-349489.25</v>
      </c>
      <c r="R188" s="104"/>
      <c r="S188" s="66">
        <f t="shared" si="10"/>
        <v>1006762.5765750001</v>
      </c>
    </row>
    <row r="189" spans="1:19" ht="15" x14ac:dyDescent="0.25">
      <c r="A189" s="141" t="s">
        <v>148</v>
      </c>
      <c r="B189" s="141" t="s">
        <v>306</v>
      </c>
      <c r="C189" s="141" t="s">
        <v>160</v>
      </c>
      <c r="D189" s="142" t="s">
        <v>241</v>
      </c>
      <c r="E189" s="158" t="s">
        <v>360</v>
      </c>
      <c r="F189" s="142" t="s">
        <v>142</v>
      </c>
      <c r="G189" s="141">
        <v>101001</v>
      </c>
      <c r="H189" s="141" t="s">
        <v>104</v>
      </c>
      <c r="I189" s="141" t="s">
        <v>247</v>
      </c>
      <c r="J189" s="159" t="s">
        <v>297</v>
      </c>
      <c r="K189" s="160">
        <v>0</v>
      </c>
      <c r="L189" s="141"/>
      <c r="M189" s="161">
        <v>8543.73</v>
      </c>
      <c r="N189" s="161">
        <v>0</v>
      </c>
      <c r="O189" s="161">
        <v>0</v>
      </c>
      <c r="P189" s="161">
        <v>0</v>
      </c>
      <c r="Q189" s="104">
        <f t="shared" si="9"/>
        <v>8543.73</v>
      </c>
      <c r="R189" s="104"/>
      <c r="S189" s="66">
        <f t="shared" si="10"/>
        <v>974.83959300000004</v>
      </c>
    </row>
    <row r="190" spans="1:19" ht="15" x14ac:dyDescent="0.25">
      <c r="A190" s="141" t="s">
        <v>148</v>
      </c>
      <c r="B190" s="141" t="s">
        <v>306</v>
      </c>
      <c r="C190" s="141" t="s">
        <v>160</v>
      </c>
      <c r="D190" s="142" t="s">
        <v>241</v>
      </c>
      <c r="E190" s="158" t="s">
        <v>360</v>
      </c>
      <c r="F190" s="142" t="s">
        <v>142</v>
      </c>
      <c r="G190" s="141">
        <v>101001</v>
      </c>
      <c r="H190" s="141" t="s">
        <v>104</v>
      </c>
      <c r="I190" s="141" t="s">
        <v>247</v>
      </c>
      <c r="J190" s="159" t="s">
        <v>286</v>
      </c>
      <c r="K190" s="160">
        <v>0</v>
      </c>
      <c r="L190" s="141"/>
      <c r="M190" s="161">
        <v>8052.8</v>
      </c>
      <c r="N190" s="161">
        <v>0</v>
      </c>
      <c r="O190" s="161">
        <v>0</v>
      </c>
      <c r="P190" s="161">
        <v>0</v>
      </c>
      <c r="Q190" s="104">
        <f t="shared" si="9"/>
        <v>8052.8</v>
      </c>
      <c r="R190" s="104"/>
      <c r="S190" s="66">
        <f t="shared" si="10"/>
        <v>918.82448000000011</v>
      </c>
    </row>
    <row r="191" spans="1:19" ht="15" x14ac:dyDescent="0.25">
      <c r="A191" s="141" t="s">
        <v>148</v>
      </c>
      <c r="B191" s="141" t="s">
        <v>306</v>
      </c>
      <c r="C191" s="141" t="s">
        <v>160</v>
      </c>
      <c r="D191" s="142" t="s">
        <v>241</v>
      </c>
      <c r="E191" s="158" t="s">
        <v>360</v>
      </c>
      <c r="F191" s="142" t="s">
        <v>142</v>
      </c>
      <c r="G191" s="141">
        <v>101002</v>
      </c>
      <c r="H191" s="141" t="s">
        <v>105</v>
      </c>
      <c r="I191" s="141" t="s">
        <v>247</v>
      </c>
      <c r="J191" s="159" t="s">
        <v>248</v>
      </c>
      <c r="K191" s="160">
        <v>0</v>
      </c>
      <c r="L191" s="141"/>
      <c r="M191" s="161">
        <v>33774.47</v>
      </c>
      <c r="N191" s="161">
        <v>0</v>
      </c>
      <c r="O191" s="161">
        <v>0</v>
      </c>
      <c r="P191" s="161">
        <v>0</v>
      </c>
      <c r="Q191" s="104">
        <f t="shared" si="9"/>
        <v>33774.47</v>
      </c>
      <c r="R191" s="104"/>
      <c r="S191" s="66">
        <f t="shared" si="10"/>
        <v>3853.667027</v>
      </c>
    </row>
    <row r="192" spans="1:19" ht="15" x14ac:dyDescent="0.25">
      <c r="A192" s="141" t="s">
        <v>148</v>
      </c>
      <c r="B192" s="141" t="s">
        <v>306</v>
      </c>
      <c r="C192" s="141" t="s">
        <v>160</v>
      </c>
      <c r="D192" s="142" t="s">
        <v>241</v>
      </c>
      <c r="E192" s="158" t="s">
        <v>360</v>
      </c>
      <c r="F192" s="142" t="s">
        <v>142</v>
      </c>
      <c r="G192" s="141">
        <v>101039</v>
      </c>
      <c r="H192" s="141" t="s">
        <v>107</v>
      </c>
      <c r="I192" s="141" t="s">
        <v>247</v>
      </c>
      <c r="J192" s="159" t="s">
        <v>248</v>
      </c>
      <c r="K192" s="160">
        <v>0</v>
      </c>
      <c r="L192" s="141"/>
      <c r="M192" s="161">
        <v>267265.76</v>
      </c>
      <c r="N192" s="161">
        <v>0</v>
      </c>
      <c r="O192" s="161">
        <v>0</v>
      </c>
      <c r="P192" s="161">
        <v>0</v>
      </c>
      <c r="Q192" s="104">
        <f t="shared" si="9"/>
        <v>267265.76</v>
      </c>
      <c r="R192" s="104"/>
      <c r="S192" s="66">
        <f t="shared" si="10"/>
        <v>30495.023216000001</v>
      </c>
    </row>
    <row r="193" spans="1:19" ht="15" x14ac:dyDescent="0.25">
      <c r="A193" s="141" t="s">
        <v>148</v>
      </c>
      <c r="B193" s="141" t="s">
        <v>306</v>
      </c>
      <c r="C193" s="141" t="s">
        <v>160</v>
      </c>
      <c r="D193" s="142" t="s">
        <v>241</v>
      </c>
      <c r="E193" s="158" t="s">
        <v>360</v>
      </c>
      <c r="F193" s="142" t="s">
        <v>142</v>
      </c>
      <c r="G193" s="141">
        <v>102002</v>
      </c>
      <c r="H193" s="141" t="s">
        <v>108</v>
      </c>
      <c r="I193" s="141" t="s">
        <v>247</v>
      </c>
      <c r="J193" s="159" t="s">
        <v>248</v>
      </c>
      <c r="K193" s="160">
        <v>0</v>
      </c>
      <c r="L193" s="141"/>
      <c r="M193" s="161">
        <v>22711.07</v>
      </c>
      <c r="N193" s="161">
        <v>0</v>
      </c>
      <c r="O193" s="161">
        <v>0</v>
      </c>
      <c r="P193" s="161">
        <v>0</v>
      </c>
      <c r="Q193" s="104">
        <f t="shared" si="9"/>
        <v>22711.07</v>
      </c>
      <c r="R193" s="104"/>
      <c r="S193" s="66">
        <f t="shared" si="10"/>
        <v>2591.333087</v>
      </c>
    </row>
    <row r="194" spans="1:19" ht="15" x14ac:dyDescent="0.25">
      <c r="A194" s="141" t="s">
        <v>148</v>
      </c>
      <c r="B194" s="141" t="s">
        <v>306</v>
      </c>
      <c r="C194" s="141" t="s">
        <v>160</v>
      </c>
      <c r="D194" s="142" t="s">
        <v>241</v>
      </c>
      <c r="E194" s="158" t="s">
        <v>360</v>
      </c>
      <c r="F194" s="142" t="s">
        <v>142</v>
      </c>
      <c r="G194" s="141">
        <v>102002</v>
      </c>
      <c r="H194" s="141" t="s">
        <v>108</v>
      </c>
      <c r="I194" s="141" t="s">
        <v>247</v>
      </c>
      <c r="J194" s="159" t="s">
        <v>297</v>
      </c>
      <c r="K194" s="160">
        <v>0</v>
      </c>
      <c r="L194" s="141"/>
      <c r="M194" s="161">
        <v>16479.330000000002</v>
      </c>
      <c r="N194" s="161">
        <v>0</v>
      </c>
      <c r="O194" s="161">
        <v>0</v>
      </c>
      <c r="P194" s="161">
        <v>0</v>
      </c>
      <c r="Q194" s="104">
        <f t="shared" si="9"/>
        <v>16479.330000000002</v>
      </c>
      <c r="R194" s="104"/>
      <c r="S194" s="66">
        <f t="shared" si="10"/>
        <v>1880.2915530000002</v>
      </c>
    </row>
    <row r="195" spans="1:19" ht="15" x14ac:dyDescent="0.25">
      <c r="A195" s="141" t="s">
        <v>148</v>
      </c>
      <c r="B195" s="141" t="s">
        <v>306</v>
      </c>
      <c r="C195" s="141" t="s">
        <v>160</v>
      </c>
      <c r="D195" s="142" t="s">
        <v>241</v>
      </c>
      <c r="E195" s="158" t="s">
        <v>360</v>
      </c>
      <c r="F195" s="142" t="s">
        <v>142</v>
      </c>
      <c r="G195" s="141">
        <v>102002</v>
      </c>
      <c r="H195" s="141" t="s">
        <v>108</v>
      </c>
      <c r="I195" s="141" t="s">
        <v>247</v>
      </c>
      <c r="J195" s="159" t="s">
        <v>286</v>
      </c>
      <c r="K195" s="160">
        <v>0</v>
      </c>
      <c r="L195" s="141"/>
      <c r="M195" s="161">
        <v>1997.39</v>
      </c>
      <c r="N195" s="161">
        <v>0</v>
      </c>
      <c r="O195" s="161">
        <v>0</v>
      </c>
      <c r="P195" s="161">
        <v>0</v>
      </c>
      <c r="Q195" s="104">
        <f t="shared" si="9"/>
        <v>1997.39</v>
      </c>
      <c r="R195" s="104"/>
      <c r="S195" s="66">
        <f t="shared" si="10"/>
        <v>227.90219900000005</v>
      </c>
    </row>
    <row r="196" spans="1:19" ht="15" x14ac:dyDescent="0.25">
      <c r="A196" s="141" t="s">
        <v>148</v>
      </c>
      <c r="B196" s="141" t="s">
        <v>306</v>
      </c>
      <c r="C196" s="141" t="s">
        <v>160</v>
      </c>
      <c r="D196" s="142" t="s">
        <v>241</v>
      </c>
      <c r="E196" s="158" t="s">
        <v>360</v>
      </c>
      <c r="F196" s="142" t="s">
        <v>142</v>
      </c>
      <c r="G196" s="141">
        <v>102003</v>
      </c>
      <c r="H196" s="141" t="s">
        <v>106</v>
      </c>
      <c r="I196" s="141" t="s">
        <v>247</v>
      </c>
      <c r="J196" s="159" t="s">
        <v>248</v>
      </c>
      <c r="K196" s="160">
        <v>0</v>
      </c>
      <c r="L196" s="141"/>
      <c r="M196" s="161">
        <v>458337.85</v>
      </c>
      <c r="N196" s="161">
        <v>210000</v>
      </c>
      <c r="O196" s="161">
        <v>86000</v>
      </c>
      <c r="P196" s="161">
        <v>296000</v>
      </c>
      <c r="Q196" s="104">
        <f t="shared" si="9"/>
        <v>162337.84999999998</v>
      </c>
      <c r="R196" s="104"/>
      <c r="S196" s="66">
        <f t="shared" si="10"/>
        <v>52296.348685000004</v>
      </c>
    </row>
    <row r="197" spans="1:19" ht="15" x14ac:dyDescent="0.25">
      <c r="A197" s="141" t="s">
        <v>148</v>
      </c>
      <c r="B197" s="141" t="s">
        <v>306</v>
      </c>
      <c r="C197" s="141" t="s">
        <v>160</v>
      </c>
      <c r="D197" s="142" t="s">
        <v>241</v>
      </c>
      <c r="E197" s="158" t="s">
        <v>360</v>
      </c>
      <c r="F197" s="142" t="s">
        <v>142</v>
      </c>
      <c r="G197" s="141">
        <v>102003</v>
      </c>
      <c r="H197" s="141" t="s">
        <v>106</v>
      </c>
      <c r="I197" s="141" t="s">
        <v>247</v>
      </c>
      <c r="J197" s="159" t="s">
        <v>296</v>
      </c>
      <c r="K197" s="160">
        <v>0</v>
      </c>
      <c r="L197" s="141"/>
      <c r="M197" s="161">
        <v>0</v>
      </c>
      <c r="N197" s="161">
        <v>0</v>
      </c>
      <c r="O197" s="161">
        <v>4000</v>
      </c>
      <c r="P197" s="161">
        <v>4000</v>
      </c>
      <c r="Q197" s="104">
        <f t="shared" si="9"/>
        <v>-4000</v>
      </c>
      <c r="R197" s="104"/>
      <c r="S197" s="66">
        <f t="shared" si="10"/>
        <v>0</v>
      </c>
    </row>
    <row r="198" spans="1:19" ht="15" x14ac:dyDescent="0.25">
      <c r="A198" s="141" t="s">
        <v>148</v>
      </c>
      <c r="B198" s="141" t="s">
        <v>306</v>
      </c>
      <c r="C198" s="141" t="s">
        <v>160</v>
      </c>
      <c r="D198" s="142" t="s">
        <v>241</v>
      </c>
      <c r="E198" s="158" t="s">
        <v>360</v>
      </c>
      <c r="F198" s="142" t="s">
        <v>142</v>
      </c>
      <c r="G198" s="141">
        <v>102005</v>
      </c>
      <c r="H198" s="141" t="s">
        <v>112</v>
      </c>
      <c r="I198" s="141" t="s">
        <v>247</v>
      </c>
      <c r="J198" s="159" t="s">
        <v>248</v>
      </c>
      <c r="K198" s="160">
        <v>0</v>
      </c>
      <c r="L198" s="141"/>
      <c r="M198" s="161">
        <v>115867.89</v>
      </c>
      <c r="N198" s="161">
        <v>0</v>
      </c>
      <c r="O198" s="161">
        <v>0</v>
      </c>
      <c r="P198" s="161">
        <v>0</v>
      </c>
      <c r="Q198" s="104">
        <f t="shared" si="9"/>
        <v>115867.89</v>
      </c>
      <c r="R198" s="104"/>
      <c r="S198" s="66">
        <f t="shared" si="10"/>
        <v>13220.526249</v>
      </c>
    </row>
    <row r="199" spans="1:19" ht="15" x14ac:dyDescent="0.25">
      <c r="A199" s="141" t="s">
        <v>148</v>
      </c>
      <c r="B199" s="141" t="s">
        <v>306</v>
      </c>
      <c r="C199" s="141" t="s">
        <v>160</v>
      </c>
      <c r="D199" s="142" t="s">
        <v>241</v>
      </c>
      <c r="E199" s="158" t="s">
        <v>360</v>
      </c>
      <c r="F199" s="142" t="s">
        <v>142</v>
      </c>
      <c r="G199" s="141">
        <v>102062</v>
      </c>
      <c r="H199" s="141" t="s">
        <v>113</v>
      </c>
      <c r="I199" s="141" t="s">
        <v>247</v>
      </c>
      <c r="J199" s="159" t="s">
        <v>248</v>
      </c>
      <c r="K199" s="160">
        <v>0</v>
      </c>
      <c r="L199" s="141"/>
      <c r="M199" s="161">
        <v>8443.75</v>
      </c>
      <c r="N199" s="161">
        <v>0</v>
      </c>
      <c r="O199" s="161">
        <v>0</v>
      </c>
      <c r="P199" s="161">
        <v>0</v>
      </c>
      <c r="Q199" s="104">
        <f t="shared" si="9"/>
        <v>8443.75</v>
      </c>
      <c r="R199" s="104"/>
      <c r="S199" s="66">
        <f t="shared" si="10"/>
        <v>963.43187499999999</v>
      </c>
    </row>
    <row r="200" spans="1:19" ht="15" x14ac:dyDescent="0.25">
      <c r="A200" s="141" t="s">
        <v>148</v>
      </c>
      <c r="B200" s="141" t="s">
        <v>306</v>
      </c>
      <c r="C200" s="141" t="s">
        <v>160</v>
      </c>
      <c r="D200" s="142" t="s">
        <v>241</v>
      </c>
      <c r="E200" s="158" t="s">
        <v>360</v>
      </c>
      <c r="F200" s="142" t="s">
        <v>142</v>
      </c>
      <c r="G200" s="141">
        <v>103001</v>
      </c>
      <c r="H200" s="141" t="s">
        <v>109</v>
      </c>
      <c r="I200" s="141" t="s">
        <v>247</v>
      </c>
      <c r="J200" s="159" t="s">
        <v>248</v>
      </c>
      <c r="K200" s="160">
        <v>0</v>
      </c>
      <c r="L200" s="141"/>
      <c r="M200" s="161">
        <v>30615.24</v>
      </c>
      <c r="N200" s="161">
        <v>0</v>
      </c>
      <c r="O200" s="161">
        <v>0</v>
      </c>
      <c r="P200" s="161">
        <v>0</v>
      </c>
      <c r="Q200" s="104">
        <f t="shared" ref="Q200:Q263" si="13">M200-P200</f>
        <v>30615.24</v>
      </c>
      <c r="R200" s="104"/>
      <c r="S200" s="66">
        <f t="shared" si="10"/>
        <v>3493.1988840000004</v>
      </c>
    </row>
    <row r="201" spans="1:19" ht="15" x14ac:dyDescent="0.25">
      <c r="A201" s="141" t="s">
        <v>148</v>
      </c>
      <c r="B201" s="141" t="s">
        <v>306</v>
      </c>
      <c r="C201" s="141" t="s">
        <v>160</v>
      </c>
      <c r="D201" s="142" t="s">
        <v>241</v>
      </c>
      <c r="E201" s="158" t="s">
        <v>360</v>
      </c>
      <c r="F201" s="142" t="s">
        <v>142</v>
      </c>
      <c r="G201" s="141">
        <v>103001</v>
      </c>
      <c r="H201" s="141" t="s">
        <v>109</v>
      </c>
      <c r="I201" s="141" t="s">
        <v>247</v>
      </c>
      <c r="J201" s="159" t="s">
        <v>297</v>
      </c>
      <c r="K201" s="160">
        <v>0</v>
      </c>
      <c r="L201" s="141"/>
      <c r="M201" s="161">
        <v>24582.19</v>
      </c>
      <c r="N201" s="161">
        <v>0</v>
      </c>
      <c r="O201" s="161">
        <v>0</v>
      </c>
      <c r="P201" s="161">
        <v>0</v>
      </c>
      <c r="Q201" s="104">
        <f t="shared" si="13"/>
        <v>24582.19</v>
      </c>
      <c r="R201" s="104"/>
      <c r="S201" s="66">
        <f t="shared" ref="S201:S264" si="14">M201*$S$7*1.141</f>
        <v>2804.8278789999999</v>
      </c>
    </row>
    <row r="202" spans="1:19" ht="15" x14ac:dyDescent="0.25">
      <c r="A202" s="141" t="s">
        <v>148</v>
      </c>
      <c r="B202" s="141" t="s">
        <v>306</v>
      </c>
      <c r="C202" s="141" t="s">
        <v>160</v>
      </c>
      <c r="D202" s="142" t="s">
        <v>241</v>
      </c>
      <c r="E202" s="158" t="s">
        <v>360</v>
      </c>
      <c r="F202" s="142" t="s">
        <v>142</v>
      </c>
      <c r="G202" s="141">
        <v>103001</v>
      </c>
      <c r="H202" s="141" t="s">
        <v>109</v>
      </c>
      <c r="I202" s="141" t="s">
        <v>247</v>
      </c>
      <c r="J202" s="159" t="s">
        <v>286</v>
      </c>
      <c r="K202" s="160">
        <v>0</v>
      </c>
      <c r="L202" s="141"/>
      <c r="M202" s="161">
        <v>7859.89</v>
      </c>
      <c r="N202" s="161">
        <v>0</v>
      </c>
      <c r="O202" s="161">
        <v>0</v>
      </c>
      <c r="P202" s="161">
        <v>0</v>
      </c>
      <c r="Q202" s="104">
        <f t="shared" si="13"/>
        <v>7859.89</v>
      </c>
      <c r="R202" s="129"/>
      <c r="S202" s="66">
        <f t="shared" si="14"/>
        <v>896.81344900000011</v>
      </c>
    </row>
    <row r="203" spans="1:19" ht="15" x14ac:dyDescent="0.25">
      <c r="A203" s="141" t="s">
        <v>148</v>
      </c>
      <c r="B203" s="141" t="s">
        <v>306</v>
      </c>
      <c r="C203" s="141" t="s">
        <v>160</v>
      </c>
      <c r="D203" s="142" t="s">
        <v>241</v>
      </c>
      <c r="E203" s="158" t="s">
        <v>360</v>
      </c>
      <c r="F203" s="142" t="s">
        <v>142</v>
      </c>
      <c r="G203" s="141">
        <v>103001</v>
      </c>
      <c r="H203" s="141" t="s">
        <v>109</v>
      </c>
      <c r="I203" s="141" t="s">
        <v>247</v>
      </c>
      <c r="J203" s="159" t="s">
        <v>296</v>
      </c>
      <c r="K203" s="160">
        <v>0</v>
      </c>
      <c r="L203" s="141"/>
      <c r="M203" s="161">
        <v>3598.18</v>
      </c>
      <c r="N203" s="161">
        <v>0</v>
      </c>
      <c r="O203" s="161">
        <v>0</v>
      </c>
      <c r="P203" s="161">
        <v>0</v>
      </c>
      <c r="Q203" s="104">
        <f t="shared" si="13"/>
        <v>3598.18</v>
      </c>
      <c r="R203" s="129"/>
      <c r="S203" s="66">
        <f t="shared" si="14"/>
        <v>410.55233799999996</v>
      </c>
    </row>
    <row r="204" spans="1:19" ht="15" x14ac:dyDescent="0.25">
      <c r="A204" s="141" t="s">
        <v>148</v>
      </c>
      <c r="B204" s="141" t="s">
        <v>306</v>
      </c>
      <c r="C204" s="141" t="s">
        <v>160</v>
      </c>
      <c r="D204" s="142" t="s">
        <v>241</v>
      </c>
      <c r="E204" s="158" t="s">
        <v>360</v>
      </c>
      <c r="F204" s="142" t="s">
        <v>142</v>
      </c>
      <c r="G204" s="141">
        <v>103069</v>
      </c>
      <c r="H204" s="141" t="s">
        <v>214</v>
      </c>
      <c r="I204" s="141" t="s">
        <v>247</v>
      </c>
      <c r="J204" s="159" t="s">
        <v>248</v>
      </c>
      <c r="K204" s="160">
        <v>0</v>
      </c>
      <c r="L204" s="141"/>
      <c r="M204" s="161">
        <v>18864.95</v>
      </c>
      <c r="N204" s="161">
        <v>0</v>
      </c>
      <c r="O204" s="161">
        <v>0</v>
      </c>
      <c r="P204" s="161">
        <v>0</v>
      </c>
      <c r="Q204" s="104">
        <f t="shared" si="13"/>
        <v>18864.95</v>
      </c>
      <c r="R204" s="129"/>
      <c r="S204" s="66">
        <f t="shared" si="14"/>
        <v>2152.4907950000002</v>
      </c>
    </row>
    <row r="205" spans="1:19" ht="15" x14ac:dyDescent="0.25">
      <c r="A205" s="141" t="s">
        <v>148</v>
      </c>
      <c r="B205" s="141" t="s">
        <v>306</v>
      </c>
      <c r="C205" s="141" t="s">
        <v>160</v>
      </c>
      <c r="D205" s="142" t="s">
        <v>241</v>
      </c>
      <c r="E205" s="158" t="s">
        <v>360</v>
      </c>
      <c r="F205" s="142" t="s">
        <v>142</v>
      </c>
      <c r="G205" s="141">
        <v>104000</v>
      </c>
      <c r="H205" s="141" t="s">
        <v>110</v>
      </c>
      <c r="I205" s="141" t="s">
        <v>247</v>
      </c>
      <c r="J205" s="159" t="s">
        <v>248</v>
      </c>
      <c r="K205" s="160">
        <v>0</v>
      </c>
      <c r="L205" s="141"/>
      <c r="M205" s="161">
        <v>51235.9</v>
      </c>
      <c r="N205" s="161">
        <v>69000</v>
      </c>
      <c r="O205" s="161">
        <v>2000</v>
      </c>
      <c r="P205" s="161">
        <v>71000</v>
      </c>
      <c r="Q205" s="104">
        <f t="shared" si="13"/>
        <v>-19764.099999999999</v>
      </c>
      <c r="R205" s="129"/>
      <c r="S205" s="66">
        <f t="shared" si="14"/>
        <v>5846.0161900000003</v>
      </c>
    </row>
    <row r="206" spans="1:19" ht="15" x14ac:dyDescent="0.25">
      <c r="A206" s="141" t="s">
        <v>148</v>
      </c>
      <c r="B206" s="141" t="s">
        <v>306</v>
      </c>
      <c r="C206" s="141" t="s">
        <v>160</v>
      </c>
      <c r="D206" s="142" t="s">
        <v>241</v>
      </c>
      <c r="E206" s="158" t="s">
        <v>360</v>
      </c>
      <c r="F206" s="142" t="s">
        <v>142</v>
      </c>
      <c r="G206" s="141">
        <v>104000</v>
      </c>
      <c r="H206" s="141" t="s">
        <v>110</v>
      </c>
      <c r="I206" s="141" t="s">
        <v>247</v>
      </c>
      <c r="J206" s="159" t="s">
        <v>297</v>
      </c>
      <c r="K206" s="160">
        <v>0</v>
      </c>
      <c r="L206" s="141"/>
      <c r="M206" s="161">
        <v>1032.52</v>
      </c>
      <c r="N206" s="161">
        <v>0</v>
      </c>
      <c r="O206" s="161">
        <v>0</v>
      </c>
      <c r="P206" s="161">
        <v>0</v>
      </c>
      <c r="Q206" s="104">
        <f t="shared" si="13"/>
        <v>1032.52</v>
      </c>
      <c r="R206" s="104"/>
      <c r="S206" s="66">
        <f t="shared" si="14"/>
        <v>117.81053200000001</v>
      </c>
    </row>
    <row r="207" spans="1:19" ht="15" x14ac:dyDescent="0.25">
      <c r="A207" s="141" t="s">
        <v>148</v>
      </c>
      <c r="B207" s="141" t="s">
        <v>306</v>
      </c>
      <c r="C207" s="141" t="s">
        <v>160</v>
      </c>
      <c r="D207" s="142" t="s">
        <v>241</v>
      </c>
      <c r="E207" s="158" t="s">
        <v>360</v>
      </c>
      <c r="F207" s="142" t="s">
        <v>142</v>
      </c>
      <c r="G207" s="141">
        <v>104000</v>
      </c>
      <c r="H207" s="141" t="s">
        <v>110</v>
      </c>
      <c r="I207" s="141" t="s">
        <v>247</v>
      </c>
      <c r="J207" s="159" t="s">
        <v>286</v>
      </c>
      <c r="K207" s="160">
        <v>0</v>
      </c>
      <c r="L207" s="141"/>
      <c r="M207" s="161">
        <v>225.71</v>
      </c>
      <c r="N207" s="161">
        <v>0</v>
      </c>
      <c r="O207" s="161">
        <v>0</v>
      </c>
      <c r="P207" s="161">
        <v>0</v>
      </c>
      <c r="Q207" s="104">
        <f t="shared" si="13"/>
        <v>225.71</v>
      </c>
      <c r="R207" s="104"/>
      <c r="S207" s="66">
        <f t="shared" si="14"/>
        <v>25.753511000000003</v>
      </c>
    </row>
    <row r="208" spans="1:19" ht="15" x14ac:dyDescent="0.25">
      <c r="A208" s="141" t="s">
        <v>148</v>
      </c>
      <c r="B208" s="141" t="s">
        <v>306</v>
      </c>
      <c r="C208" s="141" t="s">
        <v>160</v>
      </c>
      <c r="D208" s="142" t="s">
        <v>241</v>
      </c>
      <c r="E208" s="158" t="s">
        <v>360</v>
      </c>
      <c r="F208" s="142" t="s">
        <v>142</v>
      </c>
      <c r="G208" s="141">
        <v>104000</v>
      </c>
      <c r="H208" s="141" t="s">
        <v>110</v>
      </c>
      <c r="I208" s="141" t="s">
        <v>247</v>
      </c>
      <c r="J208" s="159" t="s">
        <v>296</v>
      </c>
      <c r="K208" s="160">
        <v>0</v>
      </c>
      <c r="L208" s="141"/>
      <c r="M208" s="161">
        <v>6693.49</v>
      </c>
      <c r="N208" s="161">
        <v>0</v>
      </c>
      <c r="O208" s="161">
        <v>0</v>
      </c>
      <c r="P208" s="161">
        <v>0</v>
      </c>
      <c r="Q208" s="104">
        <f t="shared" si="13"/>
        <v>6693.49</v>
      </c>
      <c r="R208" s="104"/>
      <c r="S208" s="66">
        <f t="shared" si="14"/>
        <v>763.72720900000002</v>
      </c>
    </row>
    <row r="209" spans="1:19" ht="15" x14ac:dyDescent="0.25">
      <c r="A209" s="141" t="s">
        <v>148</v>
      </c>
      <c r="B209" s="141" t="s">
        <v>306</v>
      </c>
      <c r="C209" s="141" t="s">
        <v>160</v>
      </c>
      <c r="D209" s="142" t="s">
        <v>241</v>
      </c>
      <c r="E209" s="158" t="s">
        <v>360</v>
      </c>
      <c r="F209" s="142" t="s">
        <v>142</v>
      </c>
      <c r="G209" s="141">
        <v>105003</v>
      </c>
      <c r="H209" s="141" t="s">
        <v>268</v>
      </c>
      <c r="I209" s="141" t="s">
        <v>247</v>
      </c>
      <c r="J209" s="159" t="s">
        <v>248</v>
      </c>
      <c r="K209" s="160">
        <v>0</v>
      </c>
      <c r="L209" s="141"/>
      <c r="M209" s="163">
        <v>77522.649999999994</v>
      </c>
      <c r="N209" s="161">
        <v>0</v>
      </c>
      <c r="O209" s="161">
        <v>0</v>
      </c>
      <c r="P209" s="161">
        <v>0</v>
      </c>
      <c r="Q209" s="104">
        <f t="shared" si="13"/>
        <v>77522.649999999994</v>
      </c>
      <c r="R209" s="104"/>
      <c r="S209" s="66">
        <f t="shared" si="14"/>
        <v>8845.3343649999988</v>
      </c>
    </row>
    <row r="210" spans="1:19" ht="15" x14ac:dyDescent="0.25">
      <c r="A210" s="141" t="s">
        <v>148</v>
      </c>
      <c r="B210" s="141" t="s">
        <v>306</v>
      </c>
      <c r="C210" s="141" t="s">
        <v>160</v>
      </c>
      <c r="D210" s="142" t="s">
        <v>241</v>
      </c>
      <c r="E210" s="158" t="s">
        <v>360</v>
      </c>
      <c r="F210" s="142" t="s">
        <v>142</v>
      </c>
      <c r="G210" s="141">
        <v>105019</v>
      </c>
      <c r="H210" s="141" t="s">
        <v>111</v>
      </c>
      <c r="I210" s="141" t="s">
        <v>247</v>
      </c>
      <c r="J210" s="159" t="s">
        <v>248</v>
      </c>
      <c r="K210" s="160">
        <v>0</v>
      </c>
      <c r="L210" s="141"/>
      <c r="M210" s="161">
        <v>1362.17</v>
      </c>
      <c r="N210" s="161">
        <v>0</v>
      </c>
      <c r="O210" s="161">
        <v>0</v>
      </c>
      <c r="P210" s="161">
        <v>0</v>
      </c>
      <c r="Q210" s="104">
        <f t="shared" si="13"/>
        <v>1362.17</v>
      </c>
      <c r="R210" s="104"/>
      <c r="S210" s="66">
        <f t="shared" si="14"/>
        <v>155.42359700000003</v>
      </c>
    </row>
    <row r="211" spans="1:19" ht="15" x14ac:dyDescent="0.25">
      <c r="A211" s="141" t="s">
        <v>148</v>
      </c>
      <c r="B211" s="141" t="s">
        <v>306</v>
      </c>
      <c r="C211" s="141" t="s">
        <v>160</v>
      </c>
      <c r="D211" s="142" t="s">
        <v>241</v>
      </c>
      <c r="E211" s="158" t="s">
        <v>360</v>
      </c>
      <c r="F211" s="142" t="s">
        <v>142</v>
      </c>
      <c r="G211" s="141">
        <v>105098</v>
      </c>
      <c r="H211" s="141" t="s">
        <v>265</v>
      </c>
      <c r="I211" s="141" t="s">
        <v>247</v>
      </c>
      <c r="J211" s="159" t="s">
        <v>302</v>
      </c>
      <c r="K211" s="160">
        <v>0</v>
      </c>
      <c r="L211" s="141"/>
      <c r="M211" s="161">
        <v>-4392</v>
      </c>
      <c r="N211" s="161">
        <v>0</v>
      </c>
      <c r="O211" s="161">
        <v>0</v>
      </c>
      <c r="P211" s="161">
        <v>0</v>
      </c>
      <c r="Q211" s="104">
        <f t="shared" si="13"/>
        <v>-4392</v>
      </c>
      <c r="R211" s="104"/>
      <c r="S211" s="66">
        <f t="shared" si="14"/>
        <v>-501.12720000000007</v>
      </c>
    </row>
    <row r="212" spans="1:19" ht="15" x14ac:dyDescent="0.25">
      <c r="A212" s="141" t="s">
        <v>148</v>
      </c>
      <c r="B212" s="141" t="s">
        <v>306</v>
      </c>
      <c r="C212" s="141" t="s">
        <v>160</v>
      </c>
      <c r="D212" s="142" t="s">
        <v>241</v>
      </c>
      <c r="E212" s="158" t="s">
        <v>360</v>
      </c>
      <c r="F212" s="142" t="s">
        <v>142</v>
      </c>
      <c r="G212" s="141">
        <v>105099</v>
      </c>
      <c r="H212" s="141" t="s">
        <v>103</v>
      </c>
      <c r="I212" s="141" t="s">
        <v>247</v>
      </c>
      <c r="J212" s="159" t="s">
        <v>303</v>
      </c>
      <c r="K212" s="160">
        <v>0</v>
      </c>
      <c r="L212" s="141"/>
      <c r="M212" s="161">
        <v>4392</v>
      </c>
      <c r="N212" s="161">
        <v>0</v>
      </c>
      <c r="O212" s="161">
        <v>0</v>
      </c>
      <c r="P212" s="161">
        <v>0</v>
      </c>
      <c r="Q212" s="104">
        <f t="shared" si="13"/>
        <v>4392</v>
      </c>
      <c r="R212" s="104"/>
      <c r="S212" s="66">
        <f t="shared" si="14"/>
        <v>501.12720000000007</v>
      </c>
    </row>
    <row r="213" spans="1:19" ht="15" x14ac:dyDescent="0.25">
      <c r="A213" s="141" t="s">
        <v>148</v>
      </c>
      <c r="B213" s="141" t="s">
        <v>306</v>
      </c>
      <c r="C213" s="141" t="s">
        <v>160</v>
      </c>
      <c r="D213" s="142" t="s">
        <v>241</v>
      </c>
      <c r="E213" s="158" t="s">
        <v>360</v>
      </c>
      <c r="F213" s="142" t="s">
        <v>142</v>
      </c>
      <c r="G213" s="144">
        <v>109001</v>
      </c>
      <c r="H213" s="141" t="s">
        <v>101</v>
      </c>
      <c r="I213" s="141" t="s">
        <v>247</v>
      </c>
      <c r="J213" s="159" t="s">
        <v>248</v>
      </c>
      <c r="K213" s="160">
        <v>0</v>
      </c>
      <c r="L213" s="141"/>
      <c r="M213" s="161">
        <v>899012.81</v>
      </c>
      <c r="N213" s="161">
        <v>862000</v>
      </c>
      <c r="O213" s="161">
        <v>36000</v>
      </c>
      <c r="P213" s="161">
        <v>898000</v>
      </c>
      <c r="Q213" s="104">
        <f t="shared" si="13"/>
        <v>1012.8100000000559</v>
      </c>
      <c r="R213" s="129">
        <f t="shared" ref="R213:R216" si="15">M213*-1.141</f>
        <v>-1025773.6162100001</v>
      </c>
    </row>
    <row r="214" spans="1:19" ht="15" x14ac:dyDescent="0.25">
      <c r="A214" s="141" t="s">
        <v>148</v>
      </c>
      <c r="B214" s="141" t="s">
        <v>306</v>
      </c>
      <c r="C214" s="141" t="s">
        <v>160</v>
      </c>
      <c r="D214" s="142" t="s">
        <v>241</v>
      </c>
      <c r="E214" s="158" t="s">
        <v>360</v>
      </c>
      <c r="F214" s="142" t="s">
        <v>142</v>
      </c>
      <c r="G214" s="144">
        <v>109001</v>
      </c>
      <c r="H214" s="141" t="s">
        <v>101</v>
      </c>
      <c r="I214" s="141" t="s">
        <v>247</v>
      </c>
      <c r="J214" s="159" t="s">
        <v>297</v>
      </c>
      <c r="K214" s="160">
        <v>0</v>
      </c>
      <c r="L214" s="141"/>
      <c r="M214" s="161">
        <v>3477.98</v>
      </c>
      <c r="N214" s="161">
        <v>0</v>
      </c>
      <c r="O214" s="161">
        <v>0</v>
      </c>
      <c r="P214" s="161">
        <v>0</v>
      </c>
      <c r="Q214" s="104">
        <f t="shared" si="13"/>
        <v>3477.98</v>
      </c>
      <c r="R214" s="129">
        <f t="shared" si="15"/>
        <v>-3968.37518</v>
      </c>
    </row>
    <row r="215" spans="1:19" ht="15" x14ac:dyDescent="0.25">
      <c r="A215" s="141" t="s">
        <v>148</v>
      </c>
      <c r="B215" s="141" t="s">
        <v>306</v>
      </c>
      <c r="C215" s="141" t="s">
        <v>160</v>
      </c>
      <c r="D215" s="142" t="s">
        <v>241</v>
      </c>
      <c r="E215" s="158" t="s">
        <v>360</v>
      </c>
      <c r="F215" s="142" t="s">
        <v>142</v>
      </c>
      <c r="G215" s="144">
        <v>109001</v>
      </c>
      <c r="H215" s="141" t="s">
        <v>101</v>
      </c>
      <c r="I215" s="141" t="s">
        <v>247</v>
      </c>
      <c r="J215" s="159" t="s">
        <v>286</v>
      </c>
      <c r="K215" s="160">
        <v>0</v>
      </c>
      <c r="L215" s="141"/>
      <c r="M215" s="161">
        <v>1420.63</v>
      </c>
      <c r="N215" s="161">
        <v>0</v>
      </c>
      <c r="O215" s="161">
        <v>0</v>
      </c>
      <c r="P215" s="161">
        <v>0</v>
      </c>
      <c r="Q215" s="104">
        <f t="shared" si="13"/>
        <v>1420.63</v>
      </c>
      <c r="R215" s="129">
        <f t="shared" si="15"/>
        <v>-1620.9388300000001</v>
      </c>
    </row>
    <row r="216" spans="1:19" ht="15" x14ac:dyDescent="0.25">
      <c r="A216" s="141" t="s">
        <v>148</v>
      </c>
      <c r="B216" s="141" t="s">
        <v>306</v>
      </c>
      <c r="C216" s="141" t="s">
        <v>160</v>
      </c>
      <c r="D216" s="142" t="s">
        <v>241</v>
      </c>
      <c r="E216" s="158" t="s">
        <v>360</v>
      </c>
      <c r="F216" s="142" t="s">
        <v>142</v>
      </c>
      <c r="G216" s="144">
        <v>109001</v>
      </c>
      <c r="H216" s="141" t="s">
        <v>101</v>
      </c>
      <c r="I216" s="141" t="s">
        <v>247</v>
      </c>
      <c r="J216" s="159" t="s">
        <v>296</v>
      </c>
      <c r="K216" s="160">
        <v>0</v>
      </c>
      <c r="L216" s="141"/>
      <c r="M216" s="161">
        <v>265.24</v>
      </c>
      <c r="N216" s="161">
        <v>0</v>
      </c>
      <c r="O216" s="161">
        <v>0</v>
      </c>
      <c r="P216" s="161">
        <v>0</v>
      </c>
      <c r="Q216" s="104">
        <f t="shared" si="13"/>
        <v>265.24</v>
      </c>
      <c r="R216" s="129">
        <f t="shared" si="15"/>
        <v>-302.63884000000002</v>
      </c>
    </row>
    <row r="217" spans="1:19" ht="15" x14ac:dyDescent="0.25">
      <c r="A217" s="141" t="s">
        <v>148</v>
      </c>
      <c r="B217" s="141" t="s">
        <v>306</v>
      </c>
      <c r="C217" s="141" t="s">
        <v>160</v>
      </c>
      <c r="D217" s="142" t="s">
        <v>241</v>
      </c>
      <c r="E217" s="158" t="s">
        <v>360</v>
      </c>
      <c r="F217" s="142" t="s">
        <v>142</v>
      </c>
      <c r="G217" s="144">
        <v>109901</v>
      </c>
      <c r="H217" s="141" t="s">
        <v>102</v>
      </c>
      <c r="I217" s="141" t="s">
        <v>247</v>
      </c>
      <c r="J217" s="159" t="s">
        <v>248</v>
      </c>
      <c r="K217" s="160">
        <v>0</v>
      </c>
      <c r="L217" s="141"/>
      <c r="M217" s="161">
        <v>1411669.59</v>
      </c>
      <c r="N217" s="161">
        <v>1415000</v>
      </c>
      <c r="O217" s="161">
        <v>57000</v>
      </c>
      <c r="P217" s="161">
        <v>1472000</v>
      </c>
      <c r="Q217" s="104">
        <f t="shared" si="13"/>
        <v>-60330.409999999916</v>
      </c>
      <c r="R217" s="104"/>
    </row>
    <row r="218" spans="1:19" ht="15" x14ac:dyDescent="0.25">
      <c r="A218" s="141" t="s">
        <v>148</v>
      </c>
      <c r="B218" s="141" t="s">
        <v>306</v>
      </c>
      <c r="C218" s="141" t="s">
        <v>160</v>
      </c>
      <c r="D218" s="142" t="s">
        <v>241</v>
      </c>
      <c r="E218" s="158" t="s">
        <v>360</v>
      </c>
      <c r="F218" s="142" t="s">
        <v>142</v>
      </c>
      <c r="G218" s="144">
        <v>109901</v>
      </c>
      <c r="H218" s="141" t="s">
        <v>102</v>
      </c>
      <c r="I218" s="141" t="s">
        <v>247</v>
      </c>
      <c r="J218" s="159" t="s">
        <v>303</v>
      </c>
      <c r="K218" s="160">
        <v>0</v>
      </c>
      <c r="L218" s="141"/>
      <c r="M218" s="161">
        <v>620.36</v>
      </c>
      <c r="N218" s="161">
        <v>0</v>
      </c>
      <c r="O218" s="161">
        <v>0</v>
      </c>
      <c r="P218" s="161">
        <v>0</v>
      </c>
      <c r="Q218" s="104">
        <f t="shared" si="13"/>
        <v>620.36</v>
      </c>
      <c r="R218" s="104"/>
    </row>
    <row r="219" spans="1:19" ht="15" x14ac:dyDescent="0.25">
      <c r="A219" s="141" t="s">
        <v>148</v>
      </c>
      <c r="B219" s="141" t="s">
        <v>306</v>
      </c>
      <c r="C219" s="141" t="s">
        <v>160</v>
      </c>
      <c r="D219" s="142" t="s">
        <v>241</v>
      </c>
      <c r="E219" s="158" t="s">
        <v>360</v>
      </c>
      <c r="F219" s="142" t="s">
        <v>142</v>
      </c>
      <c r="G219" s="144">
        <v>109901</v>
      </c>
      <c r="H219" s="141" t="s">
        <v>102</v>
      </c>
      <c r="I219" s="141" t="s">
        <v>247</v>
      </c>
      <c r="J219" s="159" t="s">
        <v>297</v>
      </c>
      <c r="K219" s="160">
        <v>0</v>
      </c>
      <c r="L219" s="141"/>
      <c r="M219" s="161">
        <v>7630.32</v>
      </c>
      <c r="N219" s="161">
        <v>0</v>
      </c>
      <c r="O219" s="161">
        <v>0</v>
      </c>
      <c r="P219" s="161">
        <v>0</v>
      </c>
      <c r="Q219" s="104">
        <f t="shared" si="13"/>
        <v>7630.32</v>
      </c>
      <c r="R219" s="104"/>
    </row>
    <row r="220" spans="1:19" ht="15" x14ac:dyDescent="0.25">
      <c r="A220" s="141" t="s">
        <v>148</v>
      </c>
      <c r="B220" s="141" t="s">
        <v>306</v>
      </c>
      <c r="C220" s="141" t="s">
        <v>160</v>
      </c>
      <c r="D220" s="142" t="s">
        <v>241</v>
      </c>
      <c r="E220" s="158" t="s">
        <v>360</v>
      </c>
      <c r="F220" s="142" t="s">
        <v>142</v>
      </c>
      <c r="G220" s="144">
        <v>109901</v>
      </c>
      <c r="H220" s="141" t="s">
        <v>102</v>
      </c>
      <c r="I220" s="141" t="s">
        <v>247</v>
      </c>
      <c r="J220" s="159" t="s">
        <v>286</v>
      </c>
      <c r="K220" s="160">
        <v>0</v>
      </c>
      <c r="L220" s="141"/>
      <c r="M220" s="161">
        <v>2757.45</v>
      </c>
      <c r="N220" s="161">
        <v>0</v>
      </c>
      <c r="O220" s="161">
        <v>0</v>
      </c>
      <c r="P220" s="161">
        <v>0</v>
      </c>
      <c r="Q220" s="104">
        <f t="shared" si="13"/>
        <v>2757.45</v>
      </c>
      <c r="R220" s="104"/>
    </row>
    <row r="221" spans="1:19" ht="15" x14ac:dyDescent="0.25">
      <c r="A221" s="141" t="s">
        <v>148</v>
      </c>
      <c r="B221" s="141" t="s">
        <v>306</v>
      </c>
      <c r="C221" s="141" t="s">
        <v>160</v>
      </c>
      <c r="D221" s="142" t="s">
        <v>241</v>
      </c>
      <c r="E221" s="158" t="s">
        <v>360</v>
      </c>
      <c r="F221" s="142" t="s">
        <v>142</v>
      </c>
      <c r="G221" s="144">
        <v>109901</v>
      </c>
      <c r="H221" s="141" t="s">
        <v>102</v>
      </c>
      <c r="I221" s="141" t="s">
        <v>247</v>
      </c>
      <c r="J221" s="159" t="s">
        <v>296</v>
      </c>
      <c r="K221" s="160">
        <v>0</v>
      </c>
      <c r="L221" s="141"/>
      <c r="M221" s="161">
        <v>1488.53</v>
      </c>
      <c r="N221" s="161">
        <v>0</v>
      </c>
      <c r="O221" s="161">
        <v>1000</v>
      </c>
      <c r="P221" s="161">
        <v>1000</v>
      </c>
      <c r="Q221" s="104">
        <f t="shared" si="13"/>
        <v>488.53</v>
      </c>
      <c r="R221" s="104"/>
    </row>
    <row r="222" spans="1:19" ht="15" x14ac:dyDescent="0.25">
      <c r="A222" s="141" t="s">
        <v>148</v>
      </c>
      <c r="B222" s="141" t="s">
        <v>308</v>
      </c>
      <c r="C222" s="141" t="s">
        <v>64</v>
      </c>
      <c r="D222" s="142" t="s">
        <v>241</v>
      </c>
      <c r="E222" s="158" t="s">
        <v>360</v>
      </c>
      <c r="F222" s="142" t="s">
        <v>142</v>
      </c>
      <c r="G222" s="141">
        <v>101001</v>
      </c>
      <c r="H222" s="141" t="s">
        <v>104</v>
      </c>
      <c r="I222" s="141" t="s">
        <v>247</v>
      </c>
      <c r="J222" s="159" t="s">
        <v>248</v>
      </c>
      <c r="K222" s="160">
        <v>0</v>
      </c>
      <c r="L222" s="141"/>
      <c r="M222" s="161">
        <v>4515164.37</v>
      </c>
      <c r="N222" s="161">
        <v>4509000</v>
      </c>
      <c r="O222" s="161">
        <v>101000</v>
      </c>
      <c r="P222" s="161">
        <v>4610000</v>
      </c>
      <c r="Q222" s="104">
        <f t="shared" si="13"/>
        <v>-94835.629999999888</v>
      </c>
      <c r="R222" s="104"/>
      <c r="S222" s="66">
        <f t="shared" si="14"/>
        <v>515180.25461700006</v>
      </c>
    </row>
    <row r="223" spans="1:19" ht="15" x14ac:dyDescent="0.25">
      <c r="A223" s="141" t="s">
        <v>148</v>
      </c>
      <c r="B223" s="141" t="s">
        <v>308</v>
      </c>
      <c r="C223" s="141" t="s">
        <v>64</v>
      </c>
      <c r="D223" s="142" t="s">
        <v>241</v>
      </c>
      <c r="E223" s="158" t="s">
        <v>360</v>
      </c>
      <c r="F223" s="142" t="s">
        <v>142</v>
      </c>
      <c r="G223" s="141">
        <v>101002</v>
      </c>
      <c r="H223" s="141" t="s">
        <v>105</v>
      </c>
      <c r="I223" s="141" t="s">
        <v>247</v>
      </c>
      <c r="J223" s="159" t="s">
        <v>248</v>
      </c>
      <c r="K223" s="160">
        <v>0</v>
      </c>
      <c r="L223" s="141"/>
      <c r="M223" s="161">
        <v>-9834.39</v>
      </c>
      <c r="N223" s="161">
        <v>0</v>
      </c>
      <c r="O223" s="161">
        <v>0</v>
      </c>
      <c r="P223" s="161">
        <v>0</v>
      </c>
      <c r="Q223" s="104">
        <f t="shared" si="13"/>
        <v>-9834.39</v>
      </c>
      <c r="R223" s="104"/>
      <c r="S223" s="66">
        <f t="shared" si="14"/>
        <v>-1122.103899</v>
      </c>
    </row>
    <row r="224" spans="1:19" ht="15" x14ac:dyDescent="0.25">
      <c r="A224" s="141" t="s">
        <v>148</v>
      </c>
      <c r="B224" s="141" t="s">
        <v>308</v>
      </c>
      <c r="C224" s="141" t="s">
        <v>64</v>
      </c>
      <c r="D224" s="142" t="s">
        <v>241</v>
      </c>
      <c r="E224" s="158" t="s">
        <v>360</v>
      </c>
      <c r="F224" s="142" t="s">
        <v>142</v>
      </c>
      <c r="G224" s="141">
        <v>101039</v>
      </c>
      <c r="H224" s="141" t="s">
        <v>107</v>
      </c>
      <c r="I224" s="141" t="s">
        <v>247</v>
      </c>
      <c r="J224" s="159" t="s">
        <v>248</v>
      </c>
      <c r="K224" s="160">
        <v>0</v>
      </c>
      <c r="L224" s="141"/>
      <c r="M224" s="161">
        <v>193520.54</v>
      </c>
      <c r="N224" s="161">
        <v>0</v>
      </c>
      <c r="O224" s="161">
        <v>0</v>
      </c>
      <c r="P224" s="161">
        <v>0</v>
      </c>
      <c r="Q224" s="104">
        <f t="shared" si="13"/>
        <v>193520.54</v>
      </c>
      <c r="R224" s="104"/>
      <c r="S224" s="66">
        <f t="shared" si="14"/>
        <v>22080.693614</v>
      </c>
    </row>
    <row r="225" spans="1:19" ht="15" x14ac:dyDescent="0.25">
      <c r="A225" s="141" t="s">
        <v>148</v>
      </c>
      <c r="B225" s="141" t="s">
        <v>308</v>
      </c>
      <c r="C225" s="141" t="s">
        <v>64</v>
      </c>
      <c r="D225" s="142" t="s">
        <v>241</v>
      </c>
      <c r="E225" s="158" t="s">
        <v>360</v>
      </c>
      <c r="F225" s="142" t="s">
        <v>142</v>
      </c>
      <c r="G225" s="141">
        <v>102002</v>
      </c>
      <c r="H225" s="141" t="s">
        <v>108</v>
      </c>
      <c r="I225" s="141" t="s">
        <v>247</v>
      </c>
      <c r="J225" s="159" t="s">
        <v>248</v>
      </c>
      <c r="K225" s="160">
        <v>0</v>
      </c>
      <c r="L225" s="141"/>
      <c r="M225" s="161">
        <v>5199.43</v>
      </c>
      <c r="N225" s="161">
        <v>0</v>
      </c>
      <c r="O225" s="161">
        <v>0</v>
      </c>
      <c r="P225" s="161">
        <v>0</v>
      </c>
      <c r="Q225" s="104">
        <f t="shared" si="13"/>
        <v>5199.43</v>
      </c>
      <c r="R225" s="104"/>
      <c r="S225" s="66">
        <f t="shared" si="14"/>
        <v>593.25496300000009</v>
      </c>
    </row>
    <row r="226" spans="1:19" ht="15" x14ac:dyDescent="0.25">
      <c r="A226" s="141" t="s">
        <v>148</v>
      </c>
      <c r="B226" s="141" t="s">
        <v>308</v>
      </c>
      <c r="C226" s="141" t="s">
        <v>64</v>
      </c>
      <c r="D226" s="142" t="s">
        <v>241</v>
      </c>
      <c r="E226" s="158" t="s">
        <v>360</v>
      </c>
      <c r="F226" s="142" t="s">
        <v>142</v>
      </c>
      <c r="G226" s="141">
        <v>102002</v>
      </c>
      <c r="H226" s="141" t="s">
        <v>108</v>
      </c>
      <c r="I226" s="141" t="s">
        <v>247</v>
      </c>
      <c r="J226" s="159" t="s">
        <v>286</v>
      </c>
      <c r="K226" s="160">
        <v>0</v>
      </c>
      <c r="L226" s="141"/>
      <c r="M226" s="161">
        <v>33763.129999999997</v>
      </c>
      <c r="N226" s="161">
        <v>0</v>
      </c>
      <c r="O226" s="161">
        <v>0</v>
      </c>
      <c r="P226" s="161">
        <v>0</v>
      </c>
      <c r="Q226" s="104">
        <f t="shared" si="13"/>
        <v>33763.129999999997</v>
      </c>
      <c r="R226" s="104"/>
      <c r="S226" s="66">
        <f t="shared" si="14"/>
        <v>3852.3731330000001</v>
      </c>
    </row>
    <row r="227" spans="1:19" ht="15" x14ac:dyDescent="0.25">
      <c r="A227" s="141" t="s">
        <v>148</v>
      </c>
      <c r="B227" s="141" t="s">
        <v>308</v>
      </c>
      <c r="C227" s="141" t="s">
        <v>64</v>
      </c>
      <c r="D227" s="142" t="s">
        <v>241</v>
      </c>
      <c r="E227" s="158" t="s">
        <v>360</v>
      </c>
      <c r="F227" s="142" t="s">
        <v>142</v>
      </c>
      <c r="G227" s="141">
        <v>102003</v>
      </c>
      <c r="H227" s="141" t="s">
        <v>106</v>
      </c>
      <c r="I227" s="141" t="s">
        <v>247</v>
      </c>
      <c r="J227" s="159" t="s">
        <v>248</v>
      </c>
      <c r="K227" s="160">
        <v>0</v>
      </c>
      <c r="L227" s="141"/>
      <c r="M227" s="161">
        <v>84278.71</v>
      </c>
      <c r="N227" s="161">
        <v>178000</v>
      </c>
      <c r="O227" s="161">
        <v>73000</v>
      </c>
      <c r="P227" s="161">
        <v>251000</v>
      </c>
      <c r="Q227" s="104">
        <f t="shared" si="13"/>
        <v>-166721.28999999998</v>
      </c>
      <c r="R227" s="104"/>
      <c r="S227" s="66">
        <f t="shared" si="14"/>
        <v>9616.2008110000006</v>
      </c>
    </row>
    <row r="228" spans="1:19" ht="15" x14ac:dyDescent="0.25">
      <c r="A228" s="141" t="s">
        <v>148</v>
      </c>
      <c r="B228" s="141" t="s">
        <v>308</v>
      </c>
      <c r="C228" s="141" t="s">
        <v>64</v>
      </c>
      <c r="D228" s="142" t="s">
        <v>241</v>
      </c>
      <c r="E228" s="158" t="s">
        <v>360</v>
      </c>
      <c r="F228" s="142" t="s">
        <v>142</v>
      </c>
      <c r="G228" s="141">
        <v>102005</v>
      </c>
      <c r="H228" s="141" t="s">
        <v>112</v>
      </c>
      <c r="I228" s="141" t="s">
        <v>247</v>
      </c>
      <c r="J228" s="159" t="s">
        <v>248</v>
      </c>
      <c r="K228" s="160">
        <v>0</v>
      </c>
      <c r="L228" s="141"/>
      <c r="M228" s="161">
        <v>37368.800000000003</v>
      </c>
      <c r="N228" s="161">
        <v>0</v>
      </c>
      <c r="O228" s="161">
        <v>0</v>
      </c>
      <c r="P228" s="161">
        <v>0</v>
      </c>
      <c r="Q228" s="104">
        <f t="shared" si="13"/>
        <v>37368.800000000003</v>
      </c>
      <c r="R228" s="104"/>
      <c r="S228" s="66">
        <f t="shared" si="14"/>
        <v>4263.7800800000005</v>
      </c>
    </row>
    <row r="229" spans="1:19" ht="15" x14ac:dyDescent="0.25">
      <c r="A229" s="141" t="s">
        <v>148</v>
      </c>
      <c r="B229" s="141" t="s">
        <v>308</v>
      </c>
      <c r="C229" s="141" t="s">
        <v>64</v>
      </c>
      <c r="D229" s="142" t="s">
        <v>241</v>
      </c>
      <c r="E229" s="158" t="s">
        <v>360</v>
      </c>
      <c r="F229" s="142" t="s">
        <v>142</v>
      </c>
      <c r="G229" s="141">
        <v>102062</v>
      </c>
      <c r="H229" s="141" t="s">
        <v>113</v>
      </c>
      <c r="I229" s="141" t="s">
        <v>247</v>
      </c>
      <c r="J229" s="159" t="s">
        <v>248</v>
      </c>
      <c r="K229" s="160">
        <v>0</v>
      </c>
      <c r="L229" s="141"/>
      <c r="M229" s="161">
        <v>4092.14</v>
      </c>
      <c r="N229" s="161">
        <v>0</v>
      </c>
      <c r="O229" s="161">
        <v>0</v>
      </c>
      <c r="P229" s="161">
        <v>0</v>
      </c>
      <c r="Q229" s="104">
        <f t="shared" si="13"/>
        <v>4092.14</v>
      </c>
      <c r="R229" s="104"/>
      <c r="S229" s="66">
        <f t="shared" si="14"/>
        <v>466.91317400000003</v>
      </c>
    </row>
    <row r="230" spans="1:19" ht="15" x14ac:dyDescent="0.25">
      <c r="A230" s="141" t="s">
        <v>148</v>
      </c>
      <c r="B230" s="141" t="s">
        <v>308</v>
      </c>
      <c r="C230" s="141" t="s">
        <v>64</v>
      </c>
      <c r="D230" s="142" t="s">
        <v>241</v>
      </c>
      <c r="E230" s="158" t="s">
        <v>360</v>
      </c>
      <c r="F230" s="142" t="s">
        <v>142</v>
      </c>
      <c r="G230" s="141">
        <v>103001</v>
      </c>
      <c r="H230" s="141" t="s">
        <v>109</v>
      </c>
      <c r="I230" s="141" t="s">
        <v>247</v>
      </c>
      <c r="J230" s="159" t="s">
        <v>248</v>
      </c>
      <c r="K230" s="160">
        <v>0</v>
      </c>
      <c r="L230" s="141"/>
      <c r="M230" s="161">
        <v>6469.27</v>
      </c>
      <c r="N230" s="161">
        <v>0</v>
      </c>
      <c r="O230" s="161">
        <v>0</v>
      </c>
      <c r="P230" s="161">
        <v>0</v>
      </c>
      <c r="Q230" s="104">
        <f t="shared" si="13"/>
        <v>6469.27</v>
      </c>
      <c r="R230" s="104"/>
      <c r="S230" s="66">
        <f t="shared" si="14"/>
        <v>738.14370700000018</v>
      </c>
    </row>
    <row r="231" spans="1:19" ht="15" x14ac:dyDescent="0.25">
      <c r="A231" s="141" t="s">
        <v>148</v>
      </c>
      <c r="B231" s="141" t="s">
        <v>308</v>
      </c>
      <c r="C231" s="141" t="s">
        <v>64</v>
      </c>
      <c r="D231" s="142" t="s">
        <v>241</v>
      </c>
      <c r="E231" s="158" t="s">
        <v>360</v>
      </c>
      <c r="F231" s="142" t="s">
        <v>142</v>
      </c>
      <c r="G231" s="141">
        <v>103001</v>
      </c>
      <c r="H231" s="141" t="s">
        <v>109</v>
      </c>
      <c r="I231" s="141" t="s">
        <v>247</v>
      </c>
      <c r="J231" s="159" t="s">
        <v>307</v>
      </c>
      <c r="K231" s="160">
        <v>0</v>
      </c>
      <c r="L231" s="141"/>
      <c r="M231" s="161">
        <v>1726.95</v>
      </c>
      <c r="N231" s="161">
        <v>0</v>
      </c>
      <c r="O231" s="161">
        <v>0</v>
      </c>
      <c r="P231" s="161">
        <v>0</v>
      </c>
      <c r="Q231" s="104">
        <f t="shared" si="13"/>
        <v>1726.95</v>
      </c>
      <c r="R231" s="104"/>
      <c r="S231" s="66">
        <f t="shared" si="14"/>
        <v>197.04499500000003</v>
      </c>
    </row>
    <row r="232" spans="1:19" ht="15" x14ac:dyDescent="0.25">
      <c r="A232" s="141" t="s">
        <v>148</v>
      </c>
      <c r="B232" s="141" t="s">
        <v>308</v>
      </c>
      <c r="C232" s="141" t="s">
        <v>64</v>
      </c>
      <c r="D232" s="142" t="s">
        <v>241</v>
      </c>
      <c r="E232" s="158" t="s">
        <v>360</v>
      </c>
      <c r="F232" s="142" t="s">
        <v>142</v>
      </c>
      <c r="G232" s="141">
        <v>103001</v>
      </c>
      <c r="H232" s="141" t="s">
        <v>109</v>
      </c>
      <c r="I232" s="141" t="s">
        <v>247</v>
      </c>
      <c r="J232" s="159" t="s">
        <v>286</v>
      </c>
      <c r="K232" s="160">
        <v>0</v>
      </c>
      <c r="L232" s="141"/>
      <c r="M232" s="161">
        <v>18170.59</v>
      </c>
      <c r="N232" s="161">
        <v>0</v>
      </c>
      <c r="O232" s="161">
        <v>0</v>
      </c>
      <c r="P232" s="161">
        <v>0</v>
      </c>
      <c r="Q232" s="104">
        <f t="shared" si="13"/>
        <v>18170.59</v>
      </c>
      <c r="R232" s="104"/>
      <c r="S232" s="66">
        <f t="shared" si="14"/>
        <v>2073.2643190000003</v>
      </c>
    </row>
    <row r="233" spans="1:19" ht="15" x14ac:dyDescent="0.25">
      <c r="A233" s="141" t="s">
        <v>148</v>
      </c>
      <c r="B233" s="141" t="s">
        <v>308</v>
      </c>
      <c r="C233" s="141" t="s">
        <v>64</v>
      </c>
      <c r="D233" s="142" t="s">
        <v>241</v>
      </c>
      <c r="E233" s="158" t="s">
        <v>360</v>
      </c>
      <c r="F233" s="142" t="s">
        <v>142</v>
      </c>
      <c r="G233" s="141">
        <v>103062</v>
      </c>
      <c r="H233" s="141" t="s">
        <v>114</v>
      </c>
      <c r="I233" s="141" t="s">
        <v>247</v>
      </c>
      <c r="J233" s="159" t="s">
        <v>248</v>
      </c>
      <c r="K233" s="160">
        <v>0</v>
      </c>
      <c r="L233" s="141"/>
      <c r="M233" s="161">
        <v>179.2</v>
      </c>
      <c r="N233" s="161">
        <v>0</v>
      </c>
      <c r="O233" s="161">
        <v>0</v>
      </c>
      <c r="P233" s="161">
        <v>0</v>
      </c>
      <c r="Q233" s="104">
        <f t="shared" si="13"/>
        <v>179.2</v>
      </c>
      <c r="R233" s="104"/>
      <c r="S233" s="66">
        <f t="shared" si="14"/>
        <v>20.446719999999999</v>
      </c>
    </row>
    <row r="234" spans="1:19" ht="15" x14ac:dyDescent="0.25">
      <c r="A234" s="141" t="s">
        <v>148</v>
      </c>
      <c r="B234" s="141" t="s">
        <v>308</v>
      </c>
      <c r="C234" s="141" t="s">
        <v>64</v>
      </c>
      <c r="D234" s="142" t="s">
        <v>241</v>
      </c>
      <c r="E234" s="158" t="s">
        <v>360</v>
      </c>
      <c r="F234" s="142" t="s">
        <v>142</v>
      </c>
      <c r="G234" s="141">
        <v>103069</v>
      </c>
      <c r="H234" s="141" t="s">
        <v>214</v>
      </c>
      <c r="I234" s="141" t="s">
        <v>247</v>
      </c>
      <c r="J234" s="159" t="s">
        <v>248</v>
      </c>
      <c r="K234" s="160">
        <v>0</v>
      </c>
      <c r="L234" s="141"/>
      <c r="M234" s="161">
        <v>9268.59</v>
      </c>
      <c r="N234" s="161">
        <v>0</v>
      </c>
      <c r="O234" s="161">
        <v>0</v>
      </c>
      <c r="P234" s="161">
        <v>0</v>
      </c>
      <c r="Q234" s="104">
        <f t="shared" si="13"/>
        <v>9268.59</v>
      </c>
      <c r="R234" s="104"/>
      <c r="S234" s="66">
        <f t="shared" si="14"/>
        <v>1057.5461190000001</v>
      </c>
    </row>
    <row r="235" spans="1:19" ht="15" x14ac:dyDescent="0.25">
      <c r="A235" s="141" t="s">
        <v>148</v>
      </c>
      <c r="B235" s="141" t="s">
        <v>308</v>
      </c>
      <c r="C235" s="141" t="s">
        <v>64</v>
      </c>
      <c r="D235" s="142" t="s">
        <v>241</v>
      </c>
      <c r="E235" s="158" t="s">
        <v>360</v>
      </c>
      <c r="F235" s="142" t="s">
        <v>142</v>
      </c>
      <c r="G235" s="141">
        <v>104000</v>
      </c>
      <c r="H235" s="141" t="s">
        <v>110</v>
      </c>
      <c r="I235" s="141" t="s">
        <v>247</v>
      </c>
      <c r="J235" s="159" t="s">
        <v>248</v>
      </c>
      <c r="K235" s="160">
        <v>0</v>
      </c>
      <c r="L235" s="141"/>
      <c r="M235" s="161">
        <v>21655.26</v>
      </c>
      <c r="N235" s="161">
        <v>40000</v>
      </c>
      <c r="O235" s="161">
        <v>1000</v>
      </c>
      <c r="P235" s="161">
        <v>41000</v>
      </c>
      <c r="Q235" s="104">
        <f t="shared" si="13"/>
        <v>-19344.740000000002</v>
      </c>
      <c r="R235" s="104"/>
      <c r="S235" s="66">
        <f t="shared" si="14"/>
        <v>2470.865166</v>
      </c>
    </row>
    <row r="236" spans="1:19" ht="15" x14ac:dyDescent="0.25">
      <c r="A236" s="141" t="s">
        <v>148</v>
      </c>
      <c r="B236" s="141" t="s">
        <v>308</v>
      </c>
      <c r="C236" s="141" t="s">
        <v>64</v>
      </c>
      <c r="D236" s="142" t="s">
        <v>241</v>
      </c>
      <c r="E236" s="158" t="s">
        <v>360</v>
      </c>
      <c r="F236" s="142" t="s">
        <v>142</v>
      </c>
      <c r="G236" s="141">
        <v>104000</v>
      </c>
      <c r="H236" s="141" t="s">
        <v>110</v>
      </c>
      <c r="I236" s="141" t="s">
        <v>247</v>
      </c>
      <c r="J236" s="159" t="s">
        <v>286</v>
      </c>
      <c r="K236" s="160">
        <v>0</v>
      </c>
      <c r="L236" s="141"/>
      <c r="M236" s="161">
        <v>17.920000000000002</v>
      </c>
      <c r="N236" s="161">
        <v>0</v>
      </c>
      <c r="O236" s="161">
        <v>0</v>
      </c>
      <c r="P236" s="161">
        <v>0</v>
      </c>
      <c r="Q236" s="104">
        <f t="shared" si="13"/>
        <v>17.920000000000002</v>
      </c>
      <c r="R236" s="104"/>
      <c r="S236" s="66">
        <f t="shared" si="14"/>
        <v>2.0446720000000003</v>
      </c>
    </row>
    <row r="237" spans="1:19" ht="15" x14ac:dyDescent="0.25">
      <c r="A237" s="141" t="s">
        <v>148</v>
      </c>
      <c r="B237" s="141" t="s">
        <v>308</v>
      </c>
      <c r="C237" s="141" t="s">
        <v>64</v>
      </c>
      <c r="D237" s="142" t="s">
        <v>241</v>
      </c>
      <c r="E237" s="158" t="s">
        <v>360</v>
      </c>
      <c r="F237" s="142" t="s">
        <v>142</v>
      </c>
      <c r="G237" s="141">
        <v>105003</v>
      </c>
      <c r="H237" s="141" t="s">
        <v>268</v>
      </c>
      <c r="I237" s="141" t="s">
        <v>247</v>
      </c>
      <c r="J237" s="159" t="s">
        <v>248</v>
      </c>
      <c r="K237" s="160">
        <v>0</v>
      </c>
      <c r="L237" s="141"/>
      <c r="M237" s="163">
        <v>205296.37</v>
      </c>
      <c r="N237" s="161">
        <v>0</v>
      </c>
      <c r="O237" s="161">
        <v>0</v>
      </c>
      <c r="P237" s="161">
        <v>0</v>
      </c>
      <c r="Q237" s="104">
        <f t="shared" si="13"/>
        <v>205296.37</v>
      </c>
      <c r="R237" s="104"/>
      <c r="S237" s="66">
        <f t="shared" si="14"/>
        <v>23424.315817000002</v>
      </c>
    </row>
    <row r="238" spans="1:19" ht="15" x14ac:dyDescent="0.25">
      <c r="A238" s="141" t="s">
        <v>148</v>
      </c>
      <c r="B238" s="141" t="s">
        <v>308</v>
      </c>
      <c r="C238" s="141" t="s">
        <v>64</v>
      </c>
      <c r="D238" s="142" t="s">
        <v>241</v>
      </c>
      <c r="E238" s="158" t="s">
        <v>360</v>
      </c>
      <c r="F238" s="142" t="s">
        <v>142</v>
      </c>
      <c r="G238" s="141">
        <v>105010</v>
      </c>
      <c r="H238" s="141" t="s">
        <v>118</v>
      </c>
      <c r="I238" s="141" t="s">
        <v>247</v>
      </c>
      <c r="J238" s="159" t="s">
        <v>248</v>
      </c>
      <c r="K238" s="160">
        <v>0</v>
      </c>
      <c r="L238" s="141"/>
      <c r="M238" s="161">
        <v>285.66000000000003</v>
      </c>
      <c r="N238" s="161">
        <v>0</v>
      </c>
      <c r="O238" s="161">
        <v>0</v>
      </c>
      <c r="P238" s="161">
        <v>0</v>
      </c>
      <c r="Q238" s="104">
        <f t="shared" si="13"/>
        <v>285.66000000000003</v>
      </c>
      <c r="R238" s="129"/>
      <c r="S238" s="66">
        <f t="shared" si="14"/>
        <v>32.593806000000001</v>
      </c>
    </row>
    <row r="239" spans="1:19" ht="15" x14ac:dyDescent="0.25">
      <c r="A239" s="141" t="s">
        <v>148</v>
      </c>
      <c r="B239" s="141" t="s">
        <v>308</v>
      </c>
      <c r="C239" s="141" t="s">
        <v>64</v>
      </c>
      <c r="D239" s="142" t="s">
        <v>241</v>
      </c>
      <c r="E239" s="158" t="s">
        <v>360</v>
      </c>
      <c r="F239" s="142" t="s">
        <v>142</v>
      </c>
      <c r="G239" s="141">
        <v>105019</v>
      </c>
      <c r="H239" s="141" t="s">
        <v>111</v>
      </c>
      <c r="I239" s="141" t="s">
        <v>247</v>
      </c>
      <c r="J239" s="159" t="s">
        <v>248</v>
      </c>
      <c r="K239" s="160">
        <v>0</v>
      </c>
      <c r="L239" s="141"/>
      <c r="M239" s="161">
        <v>56.25</v>
      </c>
      <c r="N239" s="161">
        <v>0</v>
      </c>
      <c r="O239" s="161">
        <v>0</v>
      </c>
      <c r="P239" s="161">
        <v>0</v>
      </c>
      <c r="Q239" s="104">
        <f t="shared" si="13"/>
        <v>56.25</v>
      </c>
      <c r="R239" s="129"/>
      <c r="S239" s="66">
        <f t="shared" si="14"/>
        <v>6.4181249999999999</v>
      </c>
    </row>
    <row r="240" spans="1:19" ht="15" x14ac:dyDescent="0.25">
      <c r="A240" s="141" t="s">
        <v>148</v>
      </c>
      <c r="B240" s="141" t="s">
        <v>308</v>
      </c>
      <c r="C240" s="141" t="s">
        <v>64</v>
      </c>
      <c r="D240" s="142" t="s">
        <v>241</v>
      </c>
      <c r="E240" s="158" t="s">
        <v>360</v>
      </c>
      <c r="F240" s="142" t="s">
        <v>142</v>
      </c>
      <c r="G240" s="141">
        <v>105098</v>
      </c>
      <c r="H240" s="141" t="s">
        <v>265</v>
      </c>
      <c r="I240" s="141" t="s">
        <v>247</v>
      </c>
      <c r="J240" s="159" t="s">
        <v>302</v>
      </c>
      <c r="K240" s="160">
        <v>0</v>
      </c>
      <c r="L240" s="141"/>
      <c r="M240" s="161">
        <v>-4392</v>
      </c>
      <c r="N240" s="161">
        <v>0</v>
      </c>
      <c r="O240" s="161">
        <v>0</v>
      </c>
      <c r="P240" s="161">
        <v>0</v>
      </c>
      <c r="Q240" s="104">
        <f t="shared" si="13"/>
        <v>-4392</v>
      </c>
      <c r="R240" s="129"/>
      <c r="S240" s="66">
        <f t="shared" si="14"/>
        <v>-501.12720000000007</v>
      </c>
    </row>
    <row r="241" spans="1:19" ht="15" x14ac:dyDescent="0.25">
      <c r="A241" s="141" t="s">
        <v>148</v>
      </c>
      <c r="B241" s="141" t="s">
        <v>308</v>
      </c>
      <c r="C241" s="141" t="s">
        <v>64</v>
      </c>
      <c r="D241" s="142" t="s">
        <v>241</v>
      </c>
      <c r="E241" s="158" t="s">
        <v>360</v>
      </c>
      <c r="F241" s="142" t="s">
        <v>142</v>
      </c>
      <c r="G241" s="141">
        <v>105099</v>
      </c>
      <c r="H241" s="141" t="s">
        <v>103</v>
      </c>
      <c r="I241" s="141" t="s">
        <v>247</v>
      </c>
      <c r="J241" s="159" t="s">
        <v>303</v>
      </c>
      <c r="K241" s="160">
        <v>0</v>
      </c>
      <c r="L241" s="141"/>
      <c r="M241" s="161">
        <v>4392</v>
      </c>
      <c r="N241" s="161">
        <v>0</v>
      </c>
      <c r="O241" s="161">
        <v>0</v>
      </c>
      <c r="P241" s="161">
        <v>0</v>
      </c>
      <c r="Q241" s="104">
        <f t="shared" si="13"/>
        <v>4392</v>
      </c>
      <c r="R241" s="129"/>
      <c r="S241" s="66">
        <f t="shared" si="14"/>
        <v>501.12720000000007</v>
      </c>
    </row>
    <row r="242" spans="1:19" ht="15" x14ac:dyDescent="0.25">
      <c r="A242" s="141" t="s">
        <v>148</v>
      </c>
      <c r="B242" s="141" t="s">
        <v>308</v>
      </c>
      <c r="C242" s="141" t="s">
        <v>64</v>
      </c>
      <c r="D242" s="142" t="s">
        <v>241</v>
      </c>
      <c r="E242" s="158" t="s">
        <v>360</v>
      </c>
      <c r="F242" s="142" t="s">
        <v>142</v>
      </c>
      <c r="G242" s="144">
        <v>109001</v>
      </c>
      <c r="H242" s="141" t="s">
        <v>101</v>
      </c>
      <c r="I242" s="141" t="s">
        <v>247</v>
      </c>
      <c r="J242" s="159" t="s">
        <v>248</v>
      </c>
      <c r="K242" s="160">
        <v>0</v>
      </c>
      <c r="L242" s="141"/>
      <c r="M242" s="161">
        <v>469685.52</v>
      </c>
      <c r="N242" s="161">
        <v>444000</v>
      </c>
      <c r="O242" s="161">
        <v>16000</v>
      </c>
      <c r="P242" s="161">
        <v>460000</v>
      </c>
      <c r="Q242" s="104">
        <f t="shared" si="13"/>
        <v>9685.5200000000186</v>
      </c>
      <c r="R242" s="129">
        <f t="shared" ref="R242:R244" si="16">M242*-1.141</f>
        <v>-535911.17832000006</v>
      </c>
    </row>
    <row r="243" spans="1:19" ht="15" x14ac:dyDescent="0.25">
      <c r="A243" s="141" t="s">
        <v>148</v>
      </c>
      <c r="B243" s="141" t="s">
        <v>308</v>
      </c>
      <c r="C243" s="141" t="s">
        <v>64</v>
      </c>
      <c r="D243" s="142" t="s">
        <v>241</v>
      </c>
      <c r="E243" s="158" t="s">
        <v>360</v>
      </c>
      <c r="F243" s="142" t="s">
        <v>142</v>
      </c>
      <c r="G243" s="144">
        <v>109001</v>
      </c>
      <c r="H243" s="141" t="s">
        <v>101</v>
      </c>
      <c r="I243" s="141" t="s">
        <v>247</v>
      </c>
      <c r="J243" s="159" t="s">
        <v>307</v>
      </c>
      <c r="K243" s="160">
        <v>0</v>
      </c>
      <c r="L243" s="141"/>
      <c r="M243" s="161">
        <v>163.63999999999999</v>
      </c>
      <c r="N243" s="161">
        <v>0</v>
      </c>
      <c r="O243" s="161">
        <v>0</v>
      </c>
      <c r="P243" s="161">
        <v>0</v>
      </c>
      <c r="Q243" s="104">
        <f t="shared" si="13"/>
        <v>163.63999999999999</v>
      </c>
      <c r="R243" s="129">
        <f t="shared" si="16"/>
        <v>-186.71323999999998</v>
      </c>
    </row>
    <row r="244" spans="1:19" ht="15" x14ac:dyDescent="0.25">
      <c r="A244" s="141" t="s">
        <v>148</v>
      </c>
      <c r="B244" s="141" t="s">
        <v>308</v>
      </c>
      <c r="C244" s="141" t="s">
        <v>64</v>
      </c>
      <c r="D244" s="142" t="s">
        <v>241</v>
      </c>
      <c r="E244" s="158" t="s">
        <v>360</v>
      </c>
      <c r="F244" s="142" t="s">
        <v>142</v>
      </c>
      <c r="G244" s="144">
        <v>109001</v>
      </c>
      <c r="H244" s="141" t="s">
        <v>101</v>
      </c>
      <c r="I244" s="141" t="s">
        <v>247</v>
      </c>
      <c r="J244" s="159" t="s">
        <v>286</v>
      </c>
      <c r="K244" s="160">
        <v>0</v>
      </c>
      <c r="L244" s="141"/>
      <c r="M244" s="161">
        <v>4879.41</v>
      </c>
      <c r="N244" s="161">
        <v>0</v>
      </c>
      <c r="O244" s="161">
        <v>0</v>
      </c>
      <c r="P244" s="161">
        <v>0</v>
      </c>
      <c r="Q244" s="104">
        <f t="shared" si="13"/>
        <v>4879.41</v>
      </c>
      <c r="R244" s="129">
        <f t="shared" si="16"/>
        <v>-5567.4068099999995</v>
      </c>
    </row>
    <row r="245" spans="1:19" ht="15" x14ac:dyDescent="0.25">
      <c r="A245" s="141" t="s">
        <v>148</v>
      </c>
      <c r="B245" s="141" t="s">
        <v>308</v>
      </c>
      <c r="C245" s="141" t="s">
        <v>64</v>
      </c>
      <c r="D245" s="142" t="s">
        <v>241</v>
      </c>
      <c r="E245" s="158" t="s">
        <v>360</v>
      </c>
      <c r="F245" s="142" t="s">
        <v>142</v>
      </c>
      <c r="G245" s="144">
        <v>109901</v>
      </c>
      <c r="H245" s="141" t="s">
        <v>102</v>
      </c>
      <c r="I245" s="141" t="s">
        <v>247</v>
      </c>
      <c r="J245" s="159" t="s">
        <v>248</v>
      </c>
      <c r="K245" s="160">
        <v>0</v>
      </c>
      <c r="L245" s="141"/>
      <c r="M245" s="161">
        <v>753307.18</v>
      </c>
      <c r="N245" s="161">
        <v>729000</v>
      </c>
      <c r="O245" s="161">
        <v>27000</v>
      </c>
      <c r="P245" s="161">
        <v>756000</v>
      </c>
      <c r="Q245" s="104">
        <f t="shared" si="13"/>
        <v>-2692.8199999999488</v>
      </c>
      <c r="R245" s="129"/>
    </row>
    <row r="246" spans="1:19" ht="15" x14ac:dyDescent="0.25">
      <c r="A246" s="141" t="s">
        <v>148</v>
      </c>
      <c r="B246" s="141" t="s">
        <v>308</v>
      </c>
      <c r="C246" s="141" t="s">
        <v>64</v>
      </c>
      <c r="D246" s="142" t="s">
        <v>241</v>
      </c>
      <c r="E246" s="158" t="s">
        <v>360</v>
      </c>
      <c r="F246" s="142" t="s">
        <v>142</v>
      </c>
      <c r="G246" s="144">
        <v>109901</v>
      </c>
      <c r="H246" s="141" t="s">
        <v>102</v>
      </c>
      <c r="I246" s="141" t="s">
        <v>247</v>
      </c>
      <c r="J246" s="159" t="s">
        <v>303</v>
      </c>
      <c r="K246" s="160">
        <v>0</v>
      </c>
      <c r="L246" s="141"/>
      <c r="M246" s="161">
        <v>623.47</v>
      </c>
      <c r="N246" s="161">
        <v>0</v>
      </c>
      <c r="O246" s="161">
        <v>0</v>
      </c>
      <c r="P246" s="161">
        <v>0</v>
      </c>
      <c r="Q246" s="104">
        <f t="shared" si="13"/>
        <v>623.47</v>
      </c>
      <c r="R246" s="129"/>
    </row>
    <row r="247" spans="1:19" ht="15" x14ac:dyDescent="0.25">
      <c r="A247" s="141" t="s">
        <v>148</v>
      </c>
      <c r="B247" s="141" t="s">
        <v>308</v>
      </c>
      <c r="C247" s="141" t="s">
        <v>64</v>
      </c>
      <c r="D247" s="142" t="s">
        <v>241</v>
      </c>
      <c r="E247" s="158" t="s">
        <v>360</v>
      </c>
      <c r="F247" s="142" t="s">
        <v>142</v>
      </c>
      <c r="G247" s="144">
        <v>109901</v>
      </c>
      <c r="H247" s="141" t="s">
        <v>102</v>
      </c>
      <c r="I247" s="141" t="s">
        <v>247</v>
      </c>
      <c r="J247" s="159" t="s">
        <v>307</v>
      </c>
      <c r="K247" s="160">
        <v>0</v>
      </c>
      <c r="L247" s="141"/>
      <c r="M247" s="161">
        <v>266.57</v>
      </c>
      <c r="N247" s="161">
        <v>0</v>
      </c>
      <c r="O247" s="161">
        <v>0</v>
      </c>
      <c r="P247" s="161">
        <v>0</v>
      </c>
      <c r="Q247" s="104">
        <f t="shared" si="13"/>
        <v>266.57</v>
      </c>
      <c r="R247" s="129"/>
    </row>
    <row r="248" spans="1:19" ht="15" x14ac:dyDescent="0.25">
      <c r="A248" s="141" t="s">
        <v>148</v>
      </c>
      <c r="B248" s="141" t="s">
        <v>308</v>
      </c>
      <c r="C248" s="141" t="s">
        <v>64</v>
      </c>
      <c r="D248" s="142" t="s">
        <v>241</v>
      </c>
      <c r="E248" s="158" t="s">
        <v>360</v>
      </c>
      <c r="F248" s="142" t="s">
        <v>142</v>
      </c>
      <c r="G248" s="144">
        <v>109901</v>
      </c>
      <c r="H248" s="141" t="s">
        <v>102</v>
      </c>
      <c r="I248" s="141" t="s">
        <v>247</v>
      </c>
      <c r="J248" s="159" t="s">
        <v>286</v>
      </c>
      <c r="K248" s="160">
        <v>0</v>
      </c>
      <c r="L248" s="141"/>
      <c r="M248" s="161">
        <v>8013.19</v>
      </c>
      <c r="N248" s="161">
        <v>0</v>
      </c>
      <c r="O248" s="161">
        <v>0</v>
      </c>
      <c r="P248" s="161">
        <v>0</v>
      </c>
      <c r="Q248" s="104">
        <f t="shared" si="13"/>
        <v>8013.19</v>
      </c>
      <c r="R248" s="129"/>
    </row>
    <row r="249" spans="1:19" ht="15" x14ac:dyDescent="0.25">
      <c r="A249" s="141" t="s">
        <v>148</v>
      </c>
      <c r="B249" s="141" t="s">
        <v>309</v>
      </c>
      <c r="C249" s="141" t="s">
        <v>161</v>
      </c>
      <c r="D249" s="142" t="s">
        <v>241</v>
      </c>
      <c r="E249" s="158" t="s">
        <v>360</v>
      </c>
      <c r="F249" s="142" t="s">
        <v>142</v>
      </c>
      <c r="G249" s="141">
        <v>101001</v>
      </c>
      <c r="H249" s="141" t="s">
        <v>104</v>
      </c>
      <c r="I249" s="141" t="s">
        <v>247</v>
      </c>
      <c r="J249" s="159" t="s">
        <v>248</v>
      </c>
      <c r="K249" s="160">
        <v>0</v>
      </c>
      <c r="L249" s="141"/>
      <c r="M249" s="161">
        <v>6152877.2300000004</v>
      </c>
      <c r="N249" s="161">
        <v>5043000</v>
      </c>
      <c r="O249" s="161">
        <v>1487000</v>
      </c>
      <c r="P249" s="161">
        <v>6530000</v>
      </c>
      <c r="Q249" s="104">
        <f t="shared" si="13"/>
        <v>-377122.76999999955</v>
      </c>
      <c r="R249" s="104"/>
      <c r="S249" s="66">
        <f t="shared" si="14"/>
        <v>702043.29194300016</v>
      </c>
    </row>
    <row r="250" spans="1:19" ht="15" x14ac:dyDescent="0.25">
      <c r="A250" s="141" t="s">
        <v>148</v>
      </c>
      <c r="B250" s="141" t="s">
        <v>309</v>
      </c>
      <c r="C250" s="141" t="s">
        <v>161</v>
      </c>
      <c r="D250" s="142" t="s">
        <v>241</v>
      </c>
      <c r="E250" s="158" t="s">
        <v>360</v>
      </c>
      <c r="F250" s="142" t="s">
        <v>142</v>
      </c>
      <c r="G250" s="141">
        <v>101001</v>
      </c>
      <c r="H250" s="141" t="s">
        <v>104</v>
      </c>
      <c r="I250" s="141" t="s">
        <v>247</v>
      </c>
      <c r="J250" s="159" t="s">
        <v>366</v>
      </c>
      <c r="K250" s="160">
        <v>0</v>
      </c>
      <c r="L250" s="141"/>
      <c r="M250" s="161">
        <v>0</v>
      </c>
      <c r="N250" s="161">
        <v>0</v>
      </c>
      <c r="O250" s="161">
        <v>27000</v>
      </c>
      <c r="P250" s="161">
        <v>27000</v>
      </c>
      <c r="Q250" s="104">
        <f t="shared" si="13"/>
        <v>-27000</v>
      </c>
      <c r="R250" s="104"/>
      <c r="S250" s="66">
        <f t="shared" si="14"/>
        <v>0</v>
      </c>
    </row>
    <row r="251" spans="1:19" ht="15" x14ac:dyDescent="0.25">
      <c r="A251" s="141" t="s">
        <v>148</v>
      </c>
      <c r="B251" s="141" t="s">
        <v>309</v>
      </c>
      <c r="C251" s="141" t="s">
        <v>161</v>
      </c>
      <c r="D251" s="142" t="s">
        <v>241</v>
      </c>
      <c r="E251" s="158" t="s">
        <v>360</v>
      </c>
      <c r="F251" s="142" t="s">
        <v>142</v>
      </c>
      <c r="G251" s="141">
        <v>101002</v>
      </c>
      <c r="H251" s="141" t="s">
        <v>105</v>
      </c>
      <c r="I251" s="141" t="s">
        <v>247</v>
      </c>
      <c r="J251" s="159" t="s">
        <v>248</v>
      </c>
      <c r="K251" s="160">
        <v>0</v>
      </c>
      <c r="L251" s="141"/>
      <c r="M251" s="161">
        <v>306232.95</v>
      </c>
      <c r="N251" s="161">
        <v>0</v>
      </c>
      <c r="O251" s="161">
        <v>0</v>
      </c>
      <c r="P251" s="161">
        <v>0</v>
      </c>
      <c r="Q251" s="104">
        <f t="shared" si="13"/>
        <v>306232.95</v>
      </c>
      <c r="R251" s="104"/>
      <c r="S251" s="66">
        <f t="shared" si="14"/>
        <v>34941.179595000001</v>
      </c>
    </row>
    <row r="252" spans="1:19" ht="15" x14ac:dyDescent="0.25">
      <c r="A252" s="141" t="s">
        <v>148</v>
      </c>
      <c r="B252" s="141" t="s">
        <v>309</v>
      </c>
      <c r="C252" s="141" t="s">
        <v>161</v>
      </c>
      <c r="D252" s="142" t="s">
        <v>241</v>
      </c>
      <c r="E252" s="158" t="s">
        <v>360</v>
      </c>
      <c r="F252" s="142" t="s">
        <v>142</v>
      </c>
      <c r="G252" s="141">
        <v>101002</v>
      </c>
      <c r="H252" s="141" t="s">
        <v>105</v>
      </c>
      <c r="I252" s="141" t="s">
        <v>247</v>
      </c>
      <c r="J252" s="159" t="s">
        <v>286</v>
      </c>
      <c r="K252" s="160">
        <v>0</v>
      </c>
      <c r="L252" s="141"/>
      <c r="M252" s="161">
        <v>19670.060000000001</v>
      </c>
      <c r="N252" s="161">
        <v>0</v>
      </c>
      <c r="O252" s="161">
        <v>0</v>
      </c>
      <c r="P252" s="161">
        <v>0</v>
      </c>
      <c r="Q252" s="104">
        <f t="shared" si="13"/>
        <v>19670.060000000001</v>
      </c>
      <c r="R252" s="104"/>
      <c r="S252" s="66">
        <f t="shared" si="14"/>
        <v>2244.3538460000004</v>
      </c>
    </row>
    <row r="253" spans="1:19" ht="15" x14ac:dyDescent="0.25">
      <c r="A253" s="141" t="s">
        <v>148</v>
      </c>
      <c r="B253" s="141" t="s">
        <v>309</v>
      </c>
      <c r="C253" s="141" t="s">
        <v>161</v>
      </c>
      <c r="D253" s="142" t="s">
        <v>241</v>
      </c>
      <c r="E253" s="158" t="s">
        <v>360</v>
      </c>
      <c r="F253" s="142" t="s">
        <v>142</v>
      </c>
      <c r="G253" s="141">
        <v>101002</v>
      </c>
      <c r="H253" s="141" t="s">
        <v>105</v>
      </c>
      <c r="I253" s="141" t="s">
        <v>247</v>
      </c>
      <c r="J253" s="159" t="s">
        <v>366</v>
      </c>
      <c r="K253" s="160">
        <v>0</v>
      </c>
      <c r="L253" s="141"/>
      <c r="M253" s="161">
        <v>27036.49</v>
      </c>
      <c r="N253" s="161">
        <v>0</v>
      </c>
      <c r="O253" s="161">
        <v>0</v>
      </c>
      <c r="P253" s="161">
        <v>0</v>
      </c>
      <c r="Q253" s="104">
        <f t="shared" si="13"/>
        <v>27036.49</v>
      </c>
      <c r="R253" s="104"/>
      <c r="S253" s="66">
        <f t="shared" si="14"/>
        <v>3084.8635090000002</v>
      </c>
    </row>
    <row r="254" spans="1:19" ht="15" x14ac:dyDescent="0.25">
      <c r="A254" s="141" t="s">
        <v>148</v>
      </c>
      <c r="B254" s="141" t="s">
        <v>309</v>
      </c>
      <c r="C254" s="141" t="s">
        <v>161</v>
      </c>
      <c r="D254" s="142" t="s">
        <v>241</v>
      </c>
      <c r="E254" s="158" t="s">
        <v>360</v>
      </c>
      <c r="F254" s="142" t="s">
        <v>142</v>
      </c>
      <c r="G254" s="141">
        <v>101039</v>
      </c>
      <c r="H254" s="141" t="s">
        <v>107</v>
      </c>
      <c r="I254" s="141" t="s">
        <v>247</v>
      </c>
      <c r="J254" s="159" t="s">
        <v>248</v>
      </c>
      <c r="K254" s="160">
        <v>0</v>
      </c>
      <c r="L254" s="141"/>
      <c r="M254" s="161">
        <v>154802.78</v>
      </c>
      <c r="N254" s="161">
        <v>0</v>
      </c>
      <c r="O254" s="161">
        <v>0</v>
      </c>
      <c r="P254" s="161">
        <v>0</v>
      </c>
      <c r="Q254" s="104">
        <f t="shared" si="13"/>
        <v>154802.78</v>
      </c>
      <c r="R254" s="104"/>
      <c r="S254" s="66">
        <f t="shared" si="14"/>
        <v>17662.997198000001</v>
      </c>
    </row>
    <row r="255" spans="1:19" ht="15" x14ac:dyDescent="0.25">
      <c r="A255" s="141" t="s">
        <v>148</v>
      </c>
      <c r="B255" s="141" t="s">
        <v>309</v>
      </c>
      <c r="C255" s="141" t="s">
        <v>161</v>
      </c>
      <c r="D255" s="142" t="s">
        <v>241</v>
      </c>
      <c r="E255" s="158" t="s">
        <v>360</v>
      </c>
      <c r="F255" s="142" t="s">
        <v>142</v>
      </c>
      <c r="G255" s="141">
        <v>101039</v>
      </c>
      <c r="H255" s="141" t="s">
        <v>107</v>
      </c>
      <c r="I255" s="141" t="s">
        <v>247</v>
      </c>
      <c r="J255" s="159" t="s">
        <v>364</v>
      </c>
      <c r="K255" s="160">
        <v>0</v>
      </c>
      <c r="L255" s="141"/>
      <c r="M255" s="161">
        <v>22399.95</v>
      </c>
      <c r="N255" s="161">
        <v>0</v>
      </c>
      <c r="O255" s="161">
        <v>28000</v>
      </c>
      <c r="P255" s="161">
        <v>28000</v>
      </c>
      <c r="Q255" s="104">
        <f t="shared" si="13"/>
        <v>-5600.0499999999993</v>
      </c>
      <c r="R255" s="104"/>
      <c r="S255" s="66">
        <f t="shared" si="14"/>
        <v>2555.8342950000006</v>
      </c>
    </row>
    <row r="256" spans="1:19" ht="15" x14ac:dyDescent="0.25">
      <c r="A256" s="141" t="s">
        <v>148</v>
      </c>
      <c r="B256" s="141" t="s">
        <v>309</v>
      </c>
      <c r="C256" s="141" t="s">
        <v>161</v>
      </c>
      <c r="D256" s="142" t="s">
        <v>241</v>
      </c>
      <c r="E256" s="158" t="s">
        <v>360</v>
      </c>
      <c r="F256" s="142" t="s">
        <v>142</v>
      </c>
      <c r="G256" s="141">
        <v>102002</v>
      </c>
      <c r="H256" s="141" t="s">
        <v>108</v>
      </c>
      <c r="I256" s="141" t="s">
        <v>247</v>
      </c>
      <c r="J256" s="159" t="s">
        <v>248</v>
      </c>
      <c r="K256" s="160">
        <v>0</v>
      </c>
      <c r="L256" s="141"/>
      <c r="M256" s="161">
        <v>47651.839999999997</v>
      </c>
      <c r="N256" s="161">
        <v>0</v>
      </c>
      <c r="O256" s="161">
        <v>0</v>
      </c>
      <c r="P256" s="161">
        <v>0</v>
      </c>
      <c r="Q256" s="104">
        <f t="shared" si="13"/>
        <v>47651.839999999997</v>
      </c>
      <c r="R256" s="104"/>
      <c r="S256" s="66">
        <f t="shared" si="14"/>
        <v>5437.074944</v>
      </c>
    </row>
    <row r="257" spans="1:19" ht="15" x14ac:dyDescent="0.25">
      <c r="A257" s="141" t="s">
        <v>148</v>
      </c>
      <c r="B257" s="141" t="s">
        <v>309</v>
      </c>
      <c r="C257" s="141" t="s">
        <v>161</v>
      </c>
      <c r="D257" s="142" t="s">
        <v>241</v>
      </c>
      <c r="E257" s="158" t="s">
        <v>360</v>
      </c>
      <c r="F257" s="142" t="s">
        <v>142</v>
      </c>
      <c r="G257" s="141">
        <v>102002</v>
      </c>
      <c r="H257" s="141" t="s">
        <v>108</v>
      </c>
      <c r="I257" s="141" t="s">
        <v>247</v>
      </c>
      <c r="J257" s="159" t="s">
        <v>297</v>
      </c>
      <c r="K257" s="160">
        <v>0</v>
      </c>
      <c r="L257" s="141"/>
      <c r="M257" s="161">
        <v>11932.87</v>
      </c>
      <c r="N257" s="161">
        <v>0</v>
      </c>
      <c r="O257" s="161">
        <v>0</v>
      </c>
      <c r="P257" s="161">
        <v>0</v>
      </c>
      <c r="Q257" s="104">
        <f t="shared" si="13"/>
        <v>11932.87</v>
      </c>
      <c r="R257" s="104"/>
      <c r="S257" s="66">
        <f t="shared" si="14"/>
        <v>1361.540467</v>
      </c>
    </row>
    <row r="258" spans="1:19" ht="15" x14ac:dyDescent="0.25">
      <c r="A258" s="141" t="s">
        <v>148</v>
      </c>
      <c r="B258" s="141" t="s">
        <v>309</v>
      </c>
      <c r="C258" s="141" t="s">
        <v>161</v>
      </c>
      <c r="D258" s="142" t="s">
        <v>241</v>
      </c>
      <c r="E258" s="158" t="s">
        <v>360</v>
      </c>
      <c r="F258" s="142" t="s">
        <v>142</v>
      </c>
      <c r="G258" s="141">
        <v>102002</v>
      </c>
      <c r="H258" s="141" t="s">
        <v>108</v>
      </c>
      <c r="I258" s="141" t="s">
        <v>247</v>
      </c>
      <c r="J258" s="159" t="s">
        <v>286</v>
      </c>
      <c r="K258" s="160">
        <v>0</v>
      </c>
      <c r="L258" s="141"/>
      <c r="M258" s="161">
        <v>8326.82</v>
      </c>
      <c r="N258" s="161">
        <v>0</v>
      </c>
      <c r="O258" s="161">
        <v>0</v>
      </c>
      <c r="P258" s="161">
        <v>0</v>
      </c>
      <c r="Q258" s="104">
        <f t="shared" si="13"/>
        <v>8326.82</v>
      </c>
      <c r="R258" s="104"/>
      <c r="S258" s="66">
        <f t="shared" si="14"/>
        <v>950.09016200000008</v>
      </c>
    </row>
    <row r="259" spans="1:19" ht="15" x14ac:dyDescent="0.25">
      <c r="A259" s="141" t="s">
        <v>148</v>
      </c>
      <c r="B259" s="141" t="s">
        <v>309</v>
      </c>
      <c r="C259" s="141" t="s">
        <v>161</v>
      </c>
      <c r="D259" s="142" t="s">
        <v>241</v>
      </c>
      <c r="E259" s="158" t="s">
        <v>360</v>
      </c>
      <c r="F259" s="142" t="s">
        <v>142</v>
      </c>
      <c r="G259" s="141">
        <v>102002</v>
      </c>
      <c r="H259" s="141" t="s">
        <v>108</v>
      </c>
      <c r="I259" s="141" t="s">
        <v>247</v>
      </c>
      <c r="J259" s="159" t="s">
        <v>366</v>
      </c>
      <c r="K259" s="160">
        <v>0</v>
      </c>
      <c r="L259" s="141"/>
      <c r="M259" s="161">
        <v>2142.27</v>
      </c>
      <c r="N259" s="161">
        <v>0</v>
      </c>
      <c r="O259" s="161">
        <v>0</v>
      </c>
      <c r="P259" s="161">
        <v>0</v>
      </c>
      <c r="Q259" s="104">
        <f t="shared" si="13"/>
        <v>2142.27</v>
      </c>
      <c r="R259" s="104"/>
      <c r="S259" s="66">
        <f t="shared" si="14"/>
        <v>244.433007</v>
      </c>
    </row>
    <row r="260" spans="1:19" ht="15" x14ac:dyDescent="0.25">
      <c r="A260" s="141" t="s">
        <v>148</v>
      </c>
      <c r="B260" s="141" t="s">
        <v>309</v>
      </c>
      <c r="C260" s="141" t="s">
        <v>161</v>
      </c>
      <c r="D260" s="142" t="s">
        <v>241</v>
      </c>
      <c r="E260" s="158" t="s">
        <v>360</v>
      </c>
      <c r="F260" s="142" t="s">
        <v>142</v>
      </c>
      <c r="G260" s="141">
        <v>102003</v>
      </c>
      <c r="H260" s="141" t="s">
        <v>106</v>
      </c>
      <c r="I260" s="141" t="s">
        <v>247</v>
      </c>
      <c r="J260" s="159" t="s">
        <v>248</v>
      </c>
      <c r="K260" s="160">
        <v>0</v>
      </c>
      <c r="L260" s="141"/>
      <c r="M260" s="161">
        <v>216655.33</v>
      </c>
      <c r="N260" s="161">
        <v>110000</v>
      </c>
      <c r="O260" s="161">
        <v>79000</v>
      </c>
      <c r="P260" s="161">
        <v>189000</v>
      </c>
      <c r="Q260" s="104">
        <f t="shared" si="13"/>
        <v>27655.329999999987</v>
      </c>
      <c r="R260" s="104"/>
      <c r="S260" s="66">
        <f t="shared" si="14"/>
        <v>24720.373153</v>
      </c>
    </row>
    <row r="261" spans="1:19" ht="15" x14ac:dyDescent="0.25">
      <c r="A261" s="141" t="s">
        <v>148</v>
      </c>
      <c r="B261" s="141" t="s">
        <v>309</v>
      </c>
      <c r="C261" s="141" t="s">
        <v>161</v>
      </c>
      <c r="D261" s="142" t="s">
        <v>241</v>
      </c>
      <c r="E261" s="158" t="s">
        <v>360</v>
      </c>
      <c r="F261" s="142" t="s">
        <v>142</v>
      </c>
      <c r="G261" s="141">
        <v>102005</v>
      </c>
      <c r="H261" s="141" t="s">
        <v>112</v>
      </c>
      <c r="I261" s="141" t="s">
        <v>247</v>
      </c>
      <c r="J261" s="159" t="s">
        <v>248</v>
      </c>
      <c r="K261" s="160">
        <v>0</v>
      </c>
      <c r="L261" s="141"/>
      <c r="M261" s="161">
        <v>82203.59</v>
      </c>
      <c r="N261" s="161">
        <v>0</v>
      </c>
      <c r="O261" s="161">
        <v>0</v>
      </c>
      <c r="P261" s="161">
        <v>0</v>
      </c>
      <c r="Q261" s="104">
        <f t="shared" si="13"/>
        <v>82203.59</v>
      </c>
      <c r="R261" s="104"/>
      <c r="S261" s="66">
        <f t="shared" si="14"/>
        <v>9379.4296190000005</v>
      </c>
    </row>
    <row r="262" spans="1:19" ht="15" x14ac:dyDescent="0.25">
      <c r="A262" s="141" t="s">
        <v>148</v>
      </c>
      <c r="B262" s="141" t="s">
        <v>309</v>
      </c>
      <c r="C262" s="141" t="s">
        <v>161</v>
      </c>
      <c r="D262" s="142" t="s">
        <v>241</v>
      </c>
      <c r="E262" s="158" t="s">
        <v>360</v>
      </c>
      <c r="F262" s="142" t="s">
        <v>142</v>
      </c>
      <c r="G262" s="141">
        <v>102005</v>
      </c>
      <c r="H262" s="141" t="s">
        <v>112</v>
      </c>
      <c r="I262" s="141" t="s">
        <v>247</v>
      </c>
      <c r="J262" s="159" t="s">
        <v>363</v>
      </c>
      <c r="K262" s="160">
        <v>0</v>
      </c>
      <c r="L262" s="141"/>
      <c r="M262" s="161">
        <v>30182.06</v>
      </c>
      <c r="N262" s="161">
        <v>0</v>
      </c>
      <c r="O262" s="161">
        <v>38000</v>
      </c>
      <c r="P262" s="161">
        <v>38000</v>
      </c>
      <c r="Q262" s="104">
        <f t="shared" si="13"/>
        <v>-7817.9399999999987</v>
      </c>
      <c r="R262" s="104"/>
      <c r="S262" s="66">
        <f t="shared" si="14"/>
        <v>3443.7730460000002</v>
      </c>
    </row>
    <row r="263" spans="1:19" ht="15" x14ac:dyDescent="0.25">
      <c r="A263" s="141" t="s">
        <v>148</v>
      </c>
      <c r="B263" s="141" t="s">
        <v>309</v>
      </c>
      <c r="C263" s="141" t="s">
        <v>161</v>
      </c>
      <c r="D263" s="142" t="s">
        <v>241</v>
      </c>
      <c r="E263" s="158" t="s">
        <v>360</v>
      </c>
      <c r="F263" s="142" t="s">
        <v>142</v>
      </c>
      <c r="G263" s="141">
        <v>102062</v>
      </c>
      <c r="H263" s="141" t="s">
        <v>113</v>
      </c>
      <c r="I263" s="141" t="s">
        <v>247</v>
      </c>
      <c r="J263" s="159" t="s">
        <v>248</v>
      </c>
      <c r="K263" s="160">
        <v>0</v>
      </c>
      <c r="L263" s="141"/>
      <c r="M263" s="161">
        <v>4665.3500000000004</v>
      </c>
      <c r="N263" s="161">
        <v>0</v>
      </c>
      <c r="O263" s="161">
        <v>0</v>
      </c>
      <c r="P263" s="161">
        <v>0</v>
      </c>
      <c r="Q263" s="104">
        <f t="shared" si="13"/>
        <v>4665.3500000000004</v>
      </c>
      <c r="R263" s="104"/>
      <c r="S263" s="66">
        <f t="shared" si="14"/>
        <v>532.31643500000007</v>
      </c>
    </row>
    <row r="264" spans="1:19" ht="15" x14ac:dyDescent="0.25">
      <c r="A264" s="141" t="s">
        <v>148</v>
      </c>
      <c r="B264" s="141" t="s">
        <v>309</v>
      </c>
      <c r="C264" s="141" t="s">
        <v>161</v>
      </c>
      <c r="D264" s="142" t="s">
        <v>241</v>
      </c>
      <c r="E264" s="158" t="s">
        <v>360</v>
      </c>
      <c r="F264" s="142" t="s">
        <v>142</v>
      </c>
      <c r="G264" s="141">
        <v>103062</v>
      </c>
      <c r="H264" s="141" t="s">
        <v>114</v>
      </c>
      <c r="I264" s="141" t="s">
        <v>247</v>
      </c>
      <c r="J264" s="159" t="s">
        <v>248</v>
      </c>
      <c r="K264" s="160">
        <v>0</v>
      </c>
      <c r="L264" s="141"/>
      <c r="M264" s="161">
        <v>752.64</v>
      </c>
      <c r="N264" s="161">
        <v>0</v>
      </c>
      <c r="O264" s="161">
        <v>0</v>
      </c>
      <c r="P264" s="161">
        <v>0</v>
      </c>
      <c r="Q264" s="104">
        <f t="shared" ref="Q264:Q327" si="17">M264-P264</f>
        <v>752.64</v>
      </c>
      <c r="R264" s="104"/>
      <c r="S264" s="66">
        <f t="shared" si="14"/>
        <v>85.876223999999993</v>
      </c>
    </row>
    <row r="265" spans="1:19" ht="15" x14ac:dyDescent="0.25">
      <c r="A265" s="141" t="s">
        <v>148</v>
      </c>
      <c r="B265" s="141" t="s">
        <v>309</v>
      </c>
      <c r="C265" s="141" t="s">
        <v>161</v>
      </c>
      <c r="D265" s="142" t="s">
        <v>241</v>
      </c>
      <c r="E265" s="158" t="s">
        <v>360</v>
      </c>
      <c r="F265" s="142" t="s">
        <v>142</v>
      </c>
      <c r="G265" s="141">
        <v>103069</v>
      </c>
      <c r="H265" s="141" t="s">
        <v>214</v>
      </c>
      <c r="I265" s="141" t="s">
        <v>247</v>
      </c>
      <c r="J265" s="159" t="s">
        <v>248</v>
      </c>
      <c r="K265" s="160">
        <v>0</v>
      </c>
      <c r="L265" s="141"/>
      <c r="M265" s="161">
        <v>10462.799999999999</v>
      </c>
      <c r="N265" s="161">
        <v>0</v>
      </c>
      <c r="O265" s="161">
        <v>0</v>
      </c>
      <c r="P265" s="161">
        <v>0</v>
      </c>
      <c r="Q265" s="104">
        <f t="shared" si="17"/>
        <v>10462.799999999999</v>
      </c>
      <c r="R265" s="104"/>
      <c r="S265" s="66">
        <f t="shared" ref="S265:S328" si="18">M265*$S$7*1.141</f>
        <v>1193.80548</v>
      </c>
    </row>
    <row r="266" spans="1:19" ht="15" x14ac:dyDescent="0.25">
      <c r="A266" s="141" t="s">
        <v>148</v>
      </c>
      <c r="B266" s="141" t="s">
        <v>309</v>
      </c>
      <c r="C266" s="141" t="s">
        <v>161</v>
      </c>
      <c r="D266" s="142" t="s">
        <v>241</v>
      </c>
      <c r="E266" s="158" t="s">
        <v>360</v>
      </c>
      <c r="F266" s="142" t="s">
        <v>142</v>
      </c>
      <c r="G266" s="141">
        <v>104000</v>
      </c>
      <c r="H266" s="141" t="s">
        <v>110</v>
      </c>
      <c r="I266" s="141" t="s">
        <v>247</v>
      </c>
      <c r="J266" s="159" t="s">
        <v>248</v>
      </c>
      <c r="K266" s="160">
        <v>0</v>
      </c>
      <c r="L266" s="141"/>
      <c r="M266" s="161">
        <v>22846.1</v>
      </c>
      <c r="N266" s="161">
        <v>43000</v>
      </c>
      <c r="O266" s="161">
        <v>14000</v>
      </c>
      <c r="P266" s="161">
        <v>57000</v>
      </c>
      <c r="Q266" s="104">
        <f t="shared" si="17"/>
        <v>-34153.9</v>
      </c>
      <c r="R266" s="104"/>
      <c r="S266" s="66">
        <f t="shared" si="18"/>
        <v>2606.74001</v>
      </c>
    </row>
    <row r="267" spans="1:19" ht="15" x14ac:dyDescent="0.25">
      <c r="A267" s="141" t="s">
        <v>148</v>
      </c>
      <c r="B267" s="141" t="s">
        <v>309</v>
      </c>
      <c r="C267" s="141" t="s">
        <v>161</v>
      </c>
      <c r="D267" s="142" t="s">
        <v>241</v>
      </c>
      <c r="E267" s="158" t="s">
        <v>360</v>
      </c>
      <c r="F267" s="142" t="s">
        <v>142</v>
      </c>
      <c r="G267" s="141">
        <v>104000</v>
      </c>
      <c r="H267" s="141" t="s">
        <v>110</v>
      </c>
      <c r="I267" s="141" t="s">
        <v>247</v>
      </c>
      <c r="J267" s="159" t="s">
        <v>365</v>
      </c>
      <c r="K267" s="160">
        <v>0</v>
      </c>
      <c r="L267" s="141"/>
      <c r="M267" s="161">
        <v>4636.53</v>
      </c>
      <c r="N267" s="161">
        <v>0</v>
      </c>
      <c r="O267" s="161">
        <v>0</v>
      </c>
      <c r="P267" s="161">
        <v>0</v>
      </c>
      <c r="Q267" s="104">
        <f t="shared" si="17"/>
        <v>4636.53</v>
      </c>
      <c r="R267" s="104"/>
      <c r="S267" s="66">
        <f t="shared" si="18"/>
        <v>529.02807300000006</v>
      </c>
    </row>
    <row r="268" spans="1:19" ht="15" x14ac:dyDescent="0.25">
      <c r="A268" s="141" t="s">
        <v>148</v>
      </c>
      <c r="B268" s="141" t="s">
        <v>309</v>
      </c>
      <c r="C268" s="141" t="s">
        <v>161</v>
      </c>
      <c r="D268" s="142" t="s">
        <v>241</v>
      </c>
      <c r="E268" s="158" t="s">
        <v>360</v>
      </c>
      <c r="F268" s="142" t="s">
        <v>142</v>
      </c>
      <c r="G268" s="141">
        <v>105003</v>
      </c>
      <c r="H268" s="141" t="s">
        <v>268</v>
      </c>
      <c r="I268" s="141" t="s">
        <v>247</v>
      </c>
      <c r="J268" s="159" t="s">
        <v>248</v>
      </c>
      <c r="K268" s="160">
        <v>0</v>
      </c>
      <c r="L268" s="141"/>
      <c r="M268" s="163">
        <v>125494.27</v>
      </c>
      <c r="N268" s="161">
        <v>0</v>
      </c>
      <c r="O268" s="161">
        <v>0</v>
      </c>
      <c r="P268" s="161">
        <v>0</v>
      </c>
      <c r="Q268" s="104">
        <f t="shared" si="17"/>
        <v>125494.27</v>
      </c>
      <c r="R268" s="104"/>
      <c r="S268" s="66">
        <f t="shared" si="18"/>
        <v>14318.896207000002</v>
      </c>
    </row>
    <row r="269" spans="1:19" ht="15" x14ac:dyDescent="0.25">
      <c r="A269" s="141" t="s">
        <v>148</v>
      </c>
      <c r="B269" s="141" t="s">
        <v>309</v>
      </c>
      <c r="C269" s="141" t="s">
        <v>161</v>
      </c>
      <c r="D269" s="142" t="s">
        <v>241</v>
      </c>
      <c r="E269" s="158" t="s">
        <v>360</v>
      </c>
      <c r="F269" s="142" t="s">
        <v>142</v>
      </c>
      <c r="G269" s="141">
        <v>105019</v>
      </c>
      <c r="H269" s="141" t="s">
        <v>111</v>
      </c>
      <c r="I269" s="141" t="s">
        <v>247</v>
      </c>
      <c r="J269" s="159" t="s">
        <v>248</v>
      </c>
      <c r="K269" s="160">
        <v>0</v>
      </c>
      <c r="L269" s="141"/>
      <c r="M269" s="161">
        <v>2324.5300000000002</v>
      </c>
      <c r="N269" s="161">
        <v>0</v>
      </c>
      <c r="O269" s="161">
        <v>0</v>
      </c>
      <c r="P269" s="161">
        <v>0</v>
      </c>
      <c r="Q269" s="104">
        <f t="shared" si="17"/>
        <v>2324.5300000000002</v>
      </c>
      <c r="R269" s="104"/>
      <c r="S269" s="66">
        <f t="shared" si="18"/>
        <v>265.22887300000002</v>
      </c>
    </row>
    <row r="270" spans="1:19" ht="15" x14ac:dyDescent="0.25">
      <c r="A270" s="141" t="s">
        <v>148</v>
      </c>
      <c r="B270" s="141" t="s">
        <v>309</v>
      </c>
      <c r="C270" s="141" t="s">
        <v>161</v>
      </c>
      <c r="D270" s="142" t="s">
        <v>241</v>
      </c>
      <c r="E270" s="158" t="s">
        <v>360</v>
      </c>
      <c r="F270" s="142" t="s">
        <v>142</v>
      </c>
      <c r="G270" s="144">
        <v>109001</v>
      </c>
      <c r="H270" s="141" t="s">
        <v>101</v>
      </c>
      <c r="I270" s="141" t="s">
        <v>247</v>
      </c>
      <c r="J270" s="159" t="s">
        <v>248</v>
      </c>
      <c r="K270" s="160">
        <v>0</v>
      </c>
      <c r="L270" s="141"/>
      <c r="M270" s="161">
        <v>634753.96</v>
      </c>
      <c r="N270" s="161">
        <v>488000</v>
      </c>
      <c r="O270" s="161">
        <v>148000</v>
      </c>
      <c r="P270" s="161">
        <v>636000</v>
      </c>
      <c r="Q270" s="104">
        <f t="shared" si="17"/>
        <v>-1246.0400000000373</v>
      </c>
      <c r="R270" s="129">
        <f t="shared" ref="R270:R275" si="19">M270*-1.141</f>
        <v>-724254.26835999999</v>
      </c>
    </row>
    <row r="271" spans="1:19" ht="15" x14ac:dyDescent="0.25">
      <c r="A271" s="141" t="s">
        <v>148</v>
      </c>
      <c r="B271" s="141" t="s">
        <v>309</v>
      </c>
      <c r="C271" s="141" t="s">
        <v>161</v>
      </c>
      <c r="D271" s="142" t="s">
        <v>241</v>
      </c>
      <c r="E271" s="158" t="s">
        <v>360</v>
      </c>
      <c r="F271" s="142" t="s">
        <v>142</v>
      </c>
      <c r="G271" s="144">
        <v>109001</v>
      </c>
      <c r="H271" s="141" t="s">
        <v>101</v>
      </c>
      <c r="I271" s="141" t="s">
        <v>247</v>
      </c>
      <c r="J271" s="159" t="s">
        <v>297</v>
      </c>
      <c r="K271" s="160">
        <v>0</v>
      </c>
      <c r="L271" s="141"/>
      <c r="M271" s="161">
        <v>373.65</v>
      </c>
      <c r="N271" s="161">
        <v>0</v>
      </c>
      <c r="O271" s="161">
        <v>0</v>
      </c>
      <c r="P271" s="161">
        <v>0</v>
      </c>
      <c r="Q271" s="104">
        <f t="shared" si="17"/>
        <v>373.65</v>
      </c>
      <c r="R271" s="129">
        <f t="shared" si="19"/>
        <v>-426.33464999999995</v>
      </c>
    </row>
    <row r="272" spans="1:19" ht="15" x14ac:dyDescent="0.25">
      <c r="A272" s="141" t="s">
        <v>148</v>
      </c>
      <c r="B272" s="141" t="s">
        <v>309</v>
      </c>
      <c r="C272" s="141" t="s">
        <v>161</v>
      </c>
      <c r="D272" s="142" t="s">
        <v>241</v>
      </c>
      <c r="E272" s="158" t="s">
        <v>360</v>
      </c>
      <c r="F272" s="142" t="s">
        <v>142</v>
      </c>
      <c r="G272" s="144">
        <v>109001</v>
      </c>
      <c r="H272" s="141" t="s">
        <v>101</v>
      </c>
      <c r="I272" s="141" t="s">
        <v>247</v>
      </c>
      <c r="J272" s="159" t="s">
        <v>286</v>
      </c>
      <c r="K272" s="160">
        <v>0</v>
      </c>
      <c r="L272" s="141"/>
      <c r="M272" s="161">
        <v>1151.3800000000001</v>
      </c>
      <c r="N272" s="161">
        <v>0</v>
      </c>
      <c r="O272" s="161">
        <v>0</v>
      </c>
      <c r="P272" s="161">
        <v>0</v>
      </c>
      <c r="Q272" s="104">
        <f t="shared" si="17"/>
        <v>1151.3800000000001</v>
      </c>
      <c r="R272" s="129">
        <f t="shared" si="19"/>
        <v>-1313.7245800000001</v>
      </c>
    </row>
    <row r="273" spans="1:19" ht="15" x14ac:dyDescent="0.25">
      <c r="A273" s="141" t="s">
        <v>148</v>
      </c>
      <c r="B273" s="141" t="s">
        <v>309</v>
      </c>
      <c r="C273" s="141" t="s">
        <v>161</v>
      </c>
      <c r="D273" s="142" t="s">
        <v>241</v>
      </c>
      <c r="E273" s="158" t="s">
        <v>360</v>
      </c>
      <c r="F273" s="142" t="s">
        <v>142</v>
      </c>
      <c r="G273" s="144">
        <v>109001</v>
      </c>
      <c r="H273" s="141" t="s">
        <v>101</v>
      </c>
      <c r="I273" s="141" t="s">
        <v>247</v>
      </c>
      <c r="J273" s="159" t="s">
        <v>366</v>
      </c>
      <c r="K273" s="160">
        <v>0</v>
      </c>
      <c r="L273" s="141"/>
      <c r="M273" s="161">
        <v>1442.07</v>
      </c>
      <c r="N273" s="161">
        <v>0</v>
      </c>
      <c r="O273" s="161">
        <v>3000</v>
      </c>
      <c r="P273" s="161">
        <v>3000</v>
      </c>
      <c r="Q273" s="104">
        <f t="shared" si="17"/>
        <v>-1557.93</v>
      </c>
      <c r="R273" s="129">
        <f t="shared" si="19"/>
        <v>-1645.4018699999999</v>
      </c>
    </row>
    <row r="274" spans="1:19" ht="15" x14ac:dyDescent="0.25">
      <c r="A274" s="141" t="s">
        <v>148</v>
      </c>
      <c r="B274" s="141" t="s">
        <v>309</v>
      </c>
      <c r="C274" s="141" t="s">
        <v>161</v>
      </c>
      <c r="D274" s="142" t="s">
        <v>241</v>
      </c>
      <c r="E274" s="158" t="s">
        <v>360</v>
      </c>
      <c r="F274" s="142" t="s">
        <v>142</v>
      </c>
      <c r="G274" s="144">
        <v>109001</v>
      </c>
      <c r="H274" s="141" t="s">
        <v>101</v>
      </c>
      <c r="I274" s="141" t="s">
        <v>247</v>
      </c>
      <c r="J274" s="159" t="s">
        <v>363</v>
      </c>
      <c r="K274" s="160">
        <v>0</v>
      </c>
      <c r="L274" s="141"/>
      <c r="M274" s="161">
        <v>2874.81</v>
      </c>
      <c r="N274" s="161">
        <v>0</v>
      </c>
      <c r="O274" s="161">
        <v>0</v>
      </c>
      <c r="P274" s="161">
        <v>0</v>
      </c>
      <c r="Q274" s="104">
        <f t="shared" si="17"/>
        <v>2874.81</v>
      </c>
      <c r="R274" s="129">
        <f t="shared" si="19"/>
        <v>-3280.1582100000001</v>
      </c>
    </row>
    <row r="275" spans="1:19" ht="15" x14ac:dyDescent="0.25">
      <c r="A275" s="141" t="s">
        <v>148</v>
      </c>
      <c r="B275" s="141" t="s">
        <v>309</v>
      </c>
      <c r="C275" s="141" t="s">
        <v>161</v>
      </c>
      <c r="D275" s="142" t="s">
        <v>241</v>
      </c>
      <c r="E275" s="158" t="s">
        <v>360</v>
      </c>
      <c r="F275" s="142" t="s">
        <v>142</v>
      </c>
      <c r="G275" s="144">
        <v>109001</v>
      </c>
      <c r="H275" s="141" t="s">
        <v>101</v>
      </c>
      <c r="I275" s="141" t="s">
        <v>247</v>
      </c>
      <c r="J275" s="159" t="s">
        <v>364</v>
      </c>
      <c r="K275" s="160">
        <v>0</v>
      </c>
      <c r="L275" s="141"/>
      <c r="M275" s="161">
        <v>1879.95</v>
      </c>
      <c r="N275" s="161">
        <v>0</v>
      </c>
      <c r="O275" s="161">
        <v>0</v>
      </c>
      <c r="P275" s="161">
        <v>0</v>
      </c>
      <c r="Q275" s="104">
        <f t="shared" si="17"/>
        <v>1879.95</v>
      </c>
      <c r="R275" s="129">
        <f t="shared" si="19"/>
        <v>-2145.02295</v>
      </c>
    </row>
    <row r="276" spans="1:19" ht="15" x14ac:dyDescent="0.25">
      <c r="A276" s="141" t="s">
        <v>148</v>
      </c>
      <c r="B276" s="141" t="s">
        <v>309</v>
      </c>
      <c r="C276" s="141" t="s">
        <v>161</v>
      </c>
      <c r="D276" s="142" t="s">
        <v>241</v>
      </c>
      <c r="E276" s="158" t="s">
        <v>360</v>
      </c>
      <c r="F276" s="142" t="s">
        <v>142</v>
      </c>
      <c r="G276" s="144">
        <v>109901</v>
      </c>
      <c r="H276" s="141" t="s">
        <v>102</v>
      </c>
      <c r="I276" s="141" t="s">
        <v>247</v>
      </c>
      <c r="J276" s="159" t="s">
        <v>248</v>
      </c>
      <c r="K276" s="160">
        <v>0</v>
      </c>
      <c r="L276" s="141"/>
      <c r="M276" s="161">
        <v>1059782.18</v>
      </c>
      <c r="N276" s="161">
        <v>802000</v>
      </c>
      <c r="O276" s="161">
        <v>243000</v>
      </c>
      <c r="P276" s="161">
        <v>1045000</v>
      </c>
      <c r="Q276" s="104">
        <f t="shared" si="17"/>
        <v>14782.179999999935</v>
      </c>
      <c r="R276" s="129"/>
    </row>
    <row r="277" spans="1:19" ht="15" x14ac:dyDescent="0.25">
      <c r="A277" s="141" t="s">
        <v>148</v>
      </c>
      <c r="B277" s="141" t="s">
        <v>309</v>
      </c>
      <c r="C277" s="141" t="s">
        <v>161</v>
      </c>
      <c r="D277" s="142" t="s">
        <v>241</v>
      </c>
      <c r="E277" s="158" t="s">
        <v>360</v>
      </c>
      <c r="F277" s="142" t="s">
        <v>142</v>
      </c>
      <c r="G277" s="144">
        <v>109901</v>
      </c>
      <c r="H277" s="141" t="s">
        <v>102</v>
      </c>
      <c r="I277" s="141" t="s">
        <v>247</v>
      </c>
      <c r="J277" s="159" t="s">
        <v>297</v>
      </c>
      <c r="K277" s="160">
        <v>0</v>
      </c>
      <c r="L277" s="141"/>
      <c r="M277" s="161">
        <v>1735.21</v>
      </c>
      <c r="N277" s="161">
        <v>0</v>
      </c>
      <c r="O277" s="161">
        <v>0</v>
      </c>
      <c r="P277" s="161">
        <v>0</v>
      </c>
      <c r="Q277" s="104">
        <f t="shared" si="17"/>
        <v>1735.21</v>
      </c>
      <c r="R277" s="129"/>
    </row>
    <row r="278" spans="1:19" ht="15" x14ac:dyDescent="0.25">
      <c r="A278" s="141" t="s">
        <v>148</v>
      </c>
      <c r="B278" s="141" t="s">
        <v>309</v>
      </c>
      <c r="C278" s="141" t="s">
        <v>161</v>
      </c>
      <c r="D278" s="142" t="s">
        <v>241</v>
      </c>
      <c r="E278" s="158" t="s">
        <v>360</v>
      </c>
      <c r="F278" s="142" t="s">
        <v>142</v>
      </c>
      <c r="G278" s="144">
        <v>109901</v>
      </c>
      <c r="H278" s="141" t="s">
        <v>102</v>
      </c>
      <c r="I278" s="141" t="s">
        <v>247</v>
      </c>
      <c r="J278" s="159" t="s">
        <v>286</v>
      </c>
      <c r="K278" s="160">
        <v>0</v>
      </c>
      <c r="L278" s="141"/>
      <c r="M278" s="161">
        <v>4109.8999999999996</v>
      </c>
      <c r="N278" s="161">
        <v>0</v>
      </c>
      <c r="O278" s="161">
        <v>0</v>
      </c>
      <c r="P278" s="161">
        <v>0</v>
      </c>
      <c r="Q278" s="104">
        <f t="shared" si="17"/>
        <v>4109.8999999999996</v>
      </c>
      <c r="R278" s="129"/>
    </row>
    <row r="279" spans="1:19" ht="15" x14ac:dyDescent="0.25">
      <c r="A279" s="141" t="s">
        <v>148</v>
      </c>
      <c r="B279" s="141" t="s">
        <v>309</v>
      </c>
      <c r="C279" s="141" t="s">
        <v>161</v>
      </c>
      <c r="D279" s="142" t="s">
        <v>241</v>
      </c>
      <c r="E279" s="158" t="s">
        <v>360</v>
      </c>
      <c r="F279" s="142" t="s">
        <v>142</v>
      </c>
      <c r="G279" s="144">
        <v>109901</v>
      </c>
      <c r="H279" s="141" t="s">
        <v>102</v>
      </c>
      <c r="I279" s="141" t="s">
        <v>247</v>
      </c>
      <c r="J279" s="159" t="s">
        <v>366</v>
      </c>
      <c r="K279" s="160">
        <v>0</v>
      </c>
      <c r="L279" s="141"/>
      <c r="M279" s="161">
        <v>4317.54</v>
      </c>
      <c r="N279" s="161">
        <v>0</v>
      </c>
      <c r="O279" s="161">
        <v>5000</v>
      </c>
      <c r="P279" s="161">
        <v>5000</v>
      </c>
      <c r="Q279" s="104">
        <f t="shared" si="17"/>
        <v>-682.46</v>
      </c>
      <c r="R279" s="129"/>
    </row>
    <row r="280" spans="1:19" ht="15" x14ac:dyDescent="0.25">
      <c r="A280" s="141" t="s">
        <v>148</v>
      </c>
      <c r="B280" s="141" t="s">
        <v>309</v>
      </c>
      <c r="C280" s="141" t="s">
        <v>161</v>
      </c>
      <c r="D280" s="142" t="s">
        <v>241</v>
      </c>
      <c r="E280" s="158" t="s">
        <v>360</v>
      </c>
      <c r="F280" s="142" t="s">
        <v>142</v>
      </c>
      <c r="G280" s="144">
        <v>109901</v>
      </c>
      <c r="H280" s="141" t="s">
        <v>102</v>
      </c>
      <c r="I280" s="141" t="s">
        <v>247</v>
      </c>
      <c r="J280" s="159" t="s">
        <v>363</v>
      </c>
      <c r="K280" s="160">
        <v>0</v>
      </c>
      <c r="L280" s="141"/>
      <c r="M280" s="161">
        <v>4661.0200000000004</v>
      </c>
      <c r="N280" s="161">
        <v>0</v>
      </c>
      <c r="O280" s="161">
        <v>0</v>
      </c>
      <c r="P280" s="161">
        <v>0</v>
      </c>
      <c r="Q280" s="104">
        <f t="shared" si="17"/>
        <v>4661.0200000000004</v>
      </c>
      <c r="R280" s="129"/>
    </row>
    <row r="281" spans="1:19" ht="15" x14ac:dyDescent="0.25">
      <c r="A281" s="141" t="s">
        <v>148</v>
      </c>
      <c r="B281" s="141" t="s">
        <v>309</v>
      </c>
      <c r="C281" s="141" t="s">
        <v>161</v>
      </c>
      <c r="D281" s="142" t="s">
        <v>241</v>
      </c>
      <c r="E281" s="158" t="s">
        <v>360</v>
      </c>
      <c r="F281" s="142" t="s">
        <v>142</v>
      </c>
      <c r="G281" s="144">
        <v>109901</v>
      </c>
      <c r="H281" s="141" t="s">
        <v>102</v>
      </c>
      <c r="I281" s="141" t="s">
        <v>247</v>
      </c>
      <c r="J281" s="159" t="s">
        <v>364</v>
      </c>
      <c r="K281" s="160">
        <v>0</v>
      </c>
      <c r="L281" s="141"/>
      <c r="M281" s="161">
        <v>3423.45</v>
      </c>
      <c r="N281" s="161">
        <v>0</v>
      </c>
      <c r="O281" s="161">
        <v>0</v>
      </c>
      <c r="P281" s="161">
        <v>0</v>
      </c>
      <c r="Q281" s="104">
        <f t="shared" si="17"/>
        <v>3423.45</v>
      </c>
      <c r="R281" s="129"/>
    </row>
    <row r="282" spans="1:19" ht="15" x14ac:dyDescent="0.25">
      <c r="A282" s="141" t="s">
        <v>148</v>
      </c>
      <c r="B282" s="141" t="s">
        <v>309</v>
      </c>
      <c r="C282" s="141" t="s">
        <v>161</v>
      </c>
      <c r="D282" s="142" t="s">
        <v>241</v>
      </c>
      <c r="E282" s="158" t="s">
        <v>360</v>
      </c>
      <c r="F282" s="142" t="s">
        <v>142</v>
      </c>
      <c r="G282" s="144">
        <v>109901</v>
      </c>
      <c r="H282" s="141" t="s">
        <v>102</v>
      </c>
      <c r="I282" s="141" t="s">
        <v>247</v>
      </c>
      <c r="J282" s="159" t="s">
        <v>365</v>
      </c>
      <c r="K282" s="160">
        <v>0</v>
      </c>
      <c r="L282" s="141"/>
      <c r="M282" s="161">
        <v>653.75</v>
      </c>
      <c r="N282" s="161">
        <v>0</v>
      </c>
      <c r="O282" s="161">
        <v>0</v>
      </c>
      <c r="P282" s="161">
        <v>0</v>
      </c>
      <c r="Q282" s="104">
        <f t="shared" si="17"/>
        <v>653.75</v>
      </c>
      <c r="R282" s="129"/>
    </row>
    <row r="283" spans="1:19" ht="15" x14ac:dyDescent="0.25">
      <c r="A283" s="141" t="s">
        <v>148</v>
      </c>
      <c r="B283" s="141" t="s">
        <v>310</v>
      </c>
      <c r="C283" s="141" t="s">
        <v>69</v>
      </c>
      <c r="D283" s="142" t="s">
        <v>241</v>
      </c>
      <c r="E283" s="158" t="s">
        <v>360</v>
      </c>
      <c r="F283" s="142" t="s">
        <v>142</v>
      </c>
      <c r="G283" s="141">
        <v>101001</v>
      </c>
      <c r="H283" s="141" t="s">
        <v>104</v>
      </c>
      <c r="I283" s="141" t="s">
        <v>247</v>
      </c>
      <c r="J283" s="159" t="s">
        <v>248</v>
      </c>
      <c r="K283" s="160">
        <v>0</v>
      </c>
      <c r="L283" s="141"/>
      <c r="M283" s="161">
        <v>3445768.43</v>
      </c>
      <c r="N283" s="161">
        <v>3607000</v>
      </c>
      <c r="O283" s="161">
        <v>29000</v>
      </c>
      <c r="P283" s="161">
        <v>3636000</v>
      </c>
      <c r="Q283" s="104">
        <f t="shared" si="17"/>
        <v>-190231.56999999983</v>
      </c>
      <c r="R283" s="129"/>
      <c r="S283" s="66">
        <f t="shared" si="18"/>
        <v>393162.17786300008</v>
      </c>
    </row>
    <row r="284" spans="1:19" ht="15" x14ac:dyDescent="0.25">
      <c r="A284" s="141" t="s">
        <v>148</v>
      </c>
      <c r="B284" s="141" t="s">
        <v>310</v>
      </c>
      <c r="C284" s="141" t="s">
        <v>69</v>
      </c>
      <c r="D284" s="142" t="s">
        <v>241</v>
      </c>
      <c r="E284" s="158" t="s">
        <v>360</v>
      </c>
      <c r="F284" s="142" t="s">
        <v>142</v>
      </c>
      <c r="G284" s="141">
        <v>101002</v>
      </c>
      <c r="H284" s="141" t="s">
        <v>105</v>
      </c>
      <c r="I284" s="141" t="s">
        <v>247</v>
      </c>
      <c r="J284" s="159" t="s">
        <v>248</v>
      </c>
      <c r="K284" s="160">
        <v>0</v>
      </c>
      <c r="L284" s="141"/>
      <c r="M284" s="161">
        <v>9818.99</v>
      </c>
      <c r="N284" s="161">
        <v>0</v>
      </c>
      <c r="O284" s="161">
        <v>0</v>
      </c>
      <c r="P284" s="161">
        <v>0</v>
      </c>
      <c r="Q284" s="104">
        <f t="shared" si="17"/>
        <v>9818.99</v>
      </c>
      <c r="R284" s="104"/>
      <c r="S284" s="66">
        <f t="shared" si="18"/>
        <v>1120.346759</v>
      </c>
    </row>
    <row r="285" spans="1:19" ht="15" x14ac:dyDescent="0.25">
      <c r="A285" s="141" t="s">
        <v>148</v>
      </c>
      <c r="B285" s="141" t="s">
        <v>310</v>
      </c>
      <c r="C285" s="141" t="s">
        <v>69</v>
      </c>
      <c r="D285" s="142" t="s">
        <v>241</v>
      </c>
      <c r="E285" s="158" t="s">
        <v>360</v>
      </c>
      <c r="F285" s="142" t="s">
        <v>142</v>
      </c>
      <c r="G285" s="141">
        <v>101039</v>
      </c>
      <c r="H285" s="141" t="s">
        <v>107</v>
      </c>
      <c r="I285" s="141" t="s">
        <v>247</v>
      </c>
      <c r="J285" s="159" t="s">
        <v>248</v>
      </c>
      <c r="K285" s="160">
        <v>0</v>
      </c>
      <c r="L285" s="141"/>
      <c r="M285" s="161">
        <v>65922.95</v>
      </c>
      <c r="N285" s="161">
        <v>12000</v>
      </c>
      <c r="O285" s="161">
        <v>0</v>
      </c>
      <c r="P285" s="161">
        <v>12000</v>
      </c>
      <c r="Q285" s="104">
        <f t="shared" si="17"/>
        <v>53922.95</v>
      </c>
      <c r="R285" s="104"/>
      <c r="S285" s="66">
        <f t="shared" si="18"/>
        <v>7521.8085950000004</v>
      </c>
    </row>
    <row r="286" spans="1:19" ht="15" x14ac:dyDescent="0.25">
      <c r="A286" s="141" t="s">
        <v>148</v>
      </c>
      <c r="B286" s="141" t="s">
        <v>310</v>
      </c>
      <c r="C286" s="141" t="s">
        <v>69</v>
      </c>
      <c r="D286" s="142" t="s">
        <v>241</v>
      </c>
      <c r="E286" s="158" t="s">
        <v>360</v>
      </c>
      <c r="F286" s="142" t="s">
        <v>142</v>
      </c>
      <c r="G286" s="141">
        <v>102002</v>
      </c>
      <c r="H286" s="141" t="s">
        <v>108</v>
      </c>
      <c r="I286" s="141" t="s">
        <v>247</v>
      </c>
      <c r="J286" s="159" t="s">
        <v>248</v>
      </c>
      <c r="K286" s="160">
        <v>0</v>
      </c>
      <c r="L286" s="141"/>
      <c r="M286" s="161">
        <v>29344.22</v>
      </c>
      <c r="N286" s="161">
        <v>0</v>
      </c>
      <c r="O286" s="161">
        <v>0</v>
      </c>
      <c r="P286" s="161">
        <v>0</v>
      </c>
      <c r="Q286" s="104">
        <f t="shared" si="17"/>
        <v>29344.22</v>
      </c>
      <c r="R286" s="104"/>
      <c r="S286" s="66">
        <f t="shared" si="18"/>
        <v>3348.1755020000005</v>
      </c>
    </row>
    <row r="287" spans="1:19" ht="15" x14ac:dyDescent="0.25">
      <c r="A287" s="141" t="s">
        <v>148</v>
      </c>
      <c r="B287" s="141" t="s">
        <v>310</v>
      </c>
      <c r="C287" s="141" t="s">
        <v>69</v>
      </c>
      <c r="D287" s="142" t="s">
        <v>241</v>
      </c>
      <c r="E287" s="158" t="s">
        <v>360</v>
      </c>
      <c r="F287" s="142" t="s">
        <v>142</v>
      </c>
      <c r="G287" s="141">
        <v>102002</v>
      </c>
      <c r="H287" s="141" t="s">
        <v>108</v>
      </c>
      <c r="I287" s="141" t="s">
        <v>247</v>
      </c>
      <c r="J287" s="159" t="s">
        <v>297</v>
      </c>
      <c r="K287" s="160">
        <v>0</v>
      </c>
      <c r="L287" s="141"/>
      <c r="M287" s="161">
        <v>1971.65</v>
      </c>
      <c r="N287" s="161">
        <v>0</v>
      </c>
      <c r="O287" s="161">
        <v>0</v>
      </c>
      <c r="P287" s="161">
        <v>0</v>
      </c>
      <c r="Q287" s="104">
        <f t="shared" si="17"/>
        <v>1971.65</v>
      </c>
      <c r="R287" s="104"/>
      <c r="S287" s="66">
        <f t="shared" si="18"/>
        <v>224.96526500000002</v>
      </c>
    </row>
    <row r="288" spans="1:19" ht="15" x14ac:dyDescent="0.25">
      <c r="A288" s="141" t="s">
        <v>148</v>
      </c>
      <c r="B288" s="141" t="s">
        <v>310</v>
      </c>
      <c r="C288" s="141" t="s">
        <v>69</v>
      </c>
      <c r="D288" s="142" t="s">
        <v>241</v>
      </c>
      <c r="E288" s="158" t="s">
        <v>360</v>
      </c>
      <c r="F288" s="142" t="s">
        <v>142</v>
      </c>
      <c r="G288" s="141">
        <v>102002</v>
      </c>
      <c r="H288" s="141" t="s">
        <v>108</v>
      </c>
      <c r="I288" s="141" t="s">
        <v>247</v>
      </c>
      <c r="J288" s="159" t="s">
        <v>286</v>
      </c>
      <c r="K288" s="160">
        <v>0</v>
      </c>
      <c r="L288" s="141"/>
      <c r="M288" s="161">
        <v>7584.63</v>
      </c>
      <c r="N288" s="161">
        <v>0</v>
      </c>
      <c r="O288" s="161">
        <v>0</v>
      </c>
      <c r="P288" s="161">
        <v>0</v>
      </c>
      <c r="Q288" s="104">
        <f t="shared" si="17"/>
        <v>7584.63</v>
      </c>
      <c r="R288" s="104"/>
      <c r="S288" s="66">
        <f t="shared" si="18"/>
        <v>865.40628300000014</v>
      </c>
    </row>
    <row r="289" spans="1:19" ht="15" x14ac:dyDescent="0.25">
      <c r="A289" s="141" t="s">
        <v>148</v>
      </c>
      <c r="B289" s="141" t="s">
        <v>310</v>
      </c>
      <c r="C289" s="141" t="s">
        <v>69</v>
      </c>
      <c r="D289" s="142" t="s">
        <v>241</v>
      </c>
      <c r="E289" s="158" t="s">
        <v>360</v>
      </c>
      <c r="F289" s="142" t="s">
        <v>142</v>
      </c>
      <c r="G289" s="141">
        <v>102003</v>
      </c>
      <c r="H289" s="141" t="s">
        <v>106</v>
      </c>
      <c r="I289" s="141" t="s">
        <v>247</v>
      </c>
      <c r="J289" s="159" t="s">
        <v>248</v>
      </c>
      <c r="K289" s="160">
        <v>0</v>
      </c>
      <c r="L289" s="141"/>
      <c r="M289" s="161">
        <v>91876.85</v>
      </c>
      <c r="N289" s="161">
        <v>125000</v>
      </c>
      <c r="O289" s="161">
        <v>-38000</v>
      </c>
      <c r="P289" s="161">
        <v>87000</v>
      </c>
      <c r="Q289" s="104">
        <f t="shared" si="17"/>
        <v>4876.8500000000058</v>
      </c>
      <c r="R289" s="104"/>
      <c r="S289" s="66">
        <f t="shared" si="18"/>
        <v>10483.148585000001</v>
      </c>
    </row>
    <row r="290" spans="1:19" ht="15" x14ac:dyDescent="0.25">
      <c r="A290" s="141" t="s">
        <v>148</v>
      </c>
      <c r="B290" s="141" t="s">
        <v>310</v>
      </c>
      <c r="C290" s="141" t="s">
        <v>69</v>
      </c>
      <c r="D290" s="142" t="s">
        <v>241</v>
      </c>
      <c r="E290" s="158" t="s">
        <v>360</v>
      </c>
      <c r="F290" s="142" t="s">
        <v>142</v>
      </c>
      <c r="G290" s="141">
        <v>102005</v>
      </c>
      <c r="H290" s="141" t="s">
        <v>112</v>
      </c>
      <c r="I290" s="141" t="s">
        <v>247</v>
      </c>
      <c r="J290" s="159" t="s">
        <v>248</v>
      </c>
      <c r="K290" s="160">
        <v>0</v>
      </c>
      <c r="L290" s="141"/>
      <c r="M290" s="161">
        <v>58330.21</v>
      </c>
      <c r="N290" s="161">
        <v>0</v>
      </c>
      <c r="O290" s="161">
        <v>0</v>
      </c>
      <c r="P290" s="161">
        <v>0</v>
      </c>
      <c r="Q290" s="104">
        <f t="shared" si="17"/>
        <v>58330.21</v>
      </c>
      <c r="R290" s="104"/>
      <c r="S290" s="66">
        <f t="shared" si="18"/>
        <v>6655.4769610000012</v>
      </c>
    </row>
    <row r="291" spans="1:19" ht="15" x14ac:dyDescent="0.25">
      <c r="A291" s="141" t="s">
        <v>148</v>
      </c>
      <c r="B291" s="141" t="s">
        <v>310</v>
      </c>
      <c r="C291" s="141" t="s">
        <v>69</v>
      </c>
      <c r="D291" s="142" t="s">
        <v>241</v>
      </c>
      <c r="E291" s="158" t="s">
        <v>360</v>
      </c>
      <c r="F291" s="142" t="s">
        <v>142</v>
      </c>
      <c r="G291" s="141">
        <v>102062</v>
      </c>
      <c r="H291" s="141" t="s">
        <v>113</v>
      </c>
      <c r="I291" s="141" t="s">
        <v>247</v>
      </c>
      <c r="J291" s="159" t="s">
        <v>248</v>
      </c>
      <c r="K291" s="160">
        <v>0</v>
      </c>
      <c r="L291" s="141"/>
      <c r="M291" s="161">
        <v>2508.8000000000002</v>
      </c>
      <c r="N291" s="161">
        <v>0</v>
      </c>
      <c r="O291" s="161">
        <v>0</v>
      </c>
      <c r="P291" s="161">
        <v>0</v>
      </c>
      <c r="Q291" s="104">
        <f t="shared" si="17"/>
        <v>2508.8000000000002</v>
      </c>
      <c r="R291" s="104"/>
      <c r="S291" s="66">
        <f t="shared" si="18"/>
        <v>286.25408000000004</v>
      </c>
    </row>
    <row r="292" spans="1:19" ht="15" x14ac:dyDescent="0.25">
      <c r="A292" s="141" t="s">
        <v>148</v>
      </c>
      <c r="B292" s="141" t="s">
        <v>310</v>
      </c>
      <c r="C292" s="141" t="s">
        <v>69</v>
      </c>
      <c r="D292" s="142" t="s">
        <v>241</v>
      </c>
      <c r="E292" s="158" t="s">
        <v>360</v>
      </c>
      <c r="F292" s="142" t="s">
        <v>142</v>
      </c>
      <c r="G292" s="141">
        <v>103001</v>
      </c>
      <c r="H292" s="141" t="s">
        <v>109</v>
      </c>
      <c r="I292" s="141" t="s">
        <v>247</v>
      </c>
      <c r="J292" s="159" t="s">
        <v>248</v>
      </c>
      <c r="K292" s="160">
        <v>0</v>
      </c>
      <c r="L292" s="141"/>
      <c r="M292" s="161">
        <v>20137.03</v>
      </c>
      <c r="N292" s="161">
        <v>0</v>
      </c>
      <c r="O292" s="161">
        <v>0</v>
      </c>
      <c r="P292" s="161">
        <v>0</v>
      </c>
      <c r="Q292" s="104">
        <f t="shared" si="17"/>
        <v>20137.03</v>
      </c>
      <c r="R292" s="104"/>
      <c r="S292" s="66">
        <f t="shared" si="18"/>
        <v>2297.635123</v>
      </c>
    </row>
    <row r="293" spans="1:19" ht="15" x14ac:dyDescent="0.25">
      <c r="A293" s="141" t="s">
        <v>148</v>
      </c>
      <c r="B293" s="141" t="s">
        <v>310</v>
      </c>
      <c r="C293" s="141" t="s">
        <v>69</v>
      </c>
      <c r="D293" s="142" t="s">
        <v>241</v>
      </c>
      <c r="E293" s="158" t="s">
        <v>360</v>
      </c>
      <c r="F293" s="142" t="s">
        <v>142</v>
      </c>
      <c r="G293" s="141">
        <v>103001</v>
      </c>
      <c r="H293" s="141" t="s">
        <v>109</v>
      </c>
      <c r="I293" s="141" t="s">
        <v>247</v>
      </c>
      <c r="J293" s="159" t="s">
        <v>286</v>
      </c>
      <c r="K293" s="160">
        <v>0</v>
      </c>
      <c r="L293" s="141"/>
      <c r="M293" s="161">
        <v>1582.16</v>
      </c>
      <c r="N293" s="161">
        <v>0</v>
      </c>
      <c r="O293" s="161">
        <v>0</v>
      </c>
      <c r="P293" s="161">
        <v>0</v>
      </c>
      <c r="Q293" s="104">
        <f t="shared" si="17"/>
        <v>1582.16</v>
      </c>
      <c r="R293" s="104"/>
      <c r="S293" s="66">
        <f t="shared" si="18"/>
        <v>180.52445600000001</v>
      </c>
    </row>
    <row r="294" spans="1:19" ht="15" x14ac:dyDescent="0.25">
      <c r="A294" s="141" t="s">
        <v>148</v>
      </c>
      <c r="B294" s="141" t="s">
        <v>310</v>
      </c>
      <c r="C294" s="141" t="s">
        <v>69</v>
      </c>
      <c r="D294" s="142" t="s">
        <v>241</v>
      </c>
      <c r="E294" s="158" t="s">
        <v>360</v>
      </c>
      <c r="F294" s="142" t="s">
        <v>142</v>
      </c>
      <c r="G294" s="141">
        <v>103062</v>
      </c>
      <c r="H294" s="141" t="s">
        <v>114</v>
      </c>
      <c r="I294" s="141" t="s">
        <v>247</v>
      </c>
      <c r="J294" s="159" t="s">
        <v>248</v>
      </c>
      <c r="K294" s="160">
        <v>0</v>
      </c>
      <c r="L294" s="141"/>
      <c r="M294" s="161">
        <v>1146.8800000000001</v>
      </c>
      <c r="N294" s="161">
        <v>0</v>
      </c>
      <c r="O294" s="161">
        <v>0</v>
      </c>
      <c r="P294" s="161">
        <v>0</v>
      </c>
      <c r="Q294" s="104">
        <f t="shared" si="17"/>
        <v>1146.8800000000001</v>
      </c>
      <c r="R294" s="104"/>
      <c r="S294" s="66">
        <f t="shared" si="18"/>
        <v>130.85900800000002</v>
      </c>
    </row>
    <row r="295" spans="1:19" ht="15" x14ac:dyDescent="0.25">
      <c r="A295" s="141" t="s">
        <v>148</v>
      </c>
      <c r="B295" s="141" t="s">
        <v>310</v>
      </c>
      <c r="C295" s="141" t="s">
        <v>69</v>
      </c>
      <c r="D295" s="142" t="s">
        <v>241</v>
      </c>
      <c r="E295" s="158" t="s">
        <v>360</v>
      </c>
      <c r="F295" s="142" t="s">
        <v>142</v>
      </c>
      <c r="G295" s="141">
        <v>103062</v>
      </c>
      <c r="H295" s="141" t="s">
        <v>114</v>
      </c>
      <c r="I295" s="141" t="s">
        <v>247</v>
      </c>
      <c r="J295" s="159" t="s">
        <v>367</v>
      </c>
      <c r="K295" s="160">
        <v>0</v>
      </c>
      <c r="L295" s="141"/>
      <c r="M295" s="161">
        <v>71.680000000000007</v>
      </c>
      <c r="N295" s="161">
        <v>0</v>
      </c>
      <c r="O295" s="161">
        <v>0</v>
      </c>
      <c r="P295" s="161">
        <v>0</v>
      </c>
      <c r="Q295" s="104">
        <f t="shared" si="17"/>
        <v>71.680000000000007</v>
      </c>
      <c r="R295" s="104"/>
      <c r="S295" s="66">
        <f t="shared" si="18"/>
        <v>8.1786880000000011</v>
      </c>
    </row>
    <row r="296" spans="1:19" ht="15" x14ac:dyDescent="0.25">
      <c r="A296" s="141" t="s">
        <v>148</v>
      </c>
      <c r="B296" s="141" t="s">
        <v>310</v>
      </c>
      <c r="C296" s="141" t="s">
        <v>69</v>
      </c>
      <c r="D296" s="142" t="s">
        <v>241</v>
      </c>
      <c r="E296" s="158" t="s">
        <v>360</v>
      </c>
      <c r="F296" s="142" t="s">
        <v>142</v>
      </c>
      <c r="G296" s="141">
        <v>103069</v>
      </c>
      <c r="H296" s="141" t="s">
        <v>214</v>
      </c>
      <c r="I296" s="141" t="s">
        <v>247</v>
      </c>
      <c r="J296" s="159" t="s">
        <v>248</v>
      </c>
      <c r="K296" s="160">
        <v>0</v>
      </c>
      <c r="L296" s="141"/>
      <c r="M296" s="161">
        <v>6917.89</v>
      </c>
      <c r="N296" s="161">
        <v>0</v>
      </c>
      <c r="O296" s="161">
        <v>0</v>
      </c>
      <c r="P296" s="161">
        <v>0</v>
      </c>
      <c r="Q296" s="104">
        <f t="shared" si="17"/>
        <v>6917.89</v>
      </c>
      <c r="R296" s="104"/>
      <c r="S296" s="66">
        <f t="shared" si="18"/>
        <v>789.33124900000007</v>
      </c>
    </row>
    <row r="297" spans="1:19" ht="15" x14ac:dyDescent="0.25">
      <c r="A297" s="141" t="s">
        <v>148</v>
      </c>
      <c r="B297" s="141" t="s">
        <v>310</v>
      </c>
      <c r="C297" s="141" t="s">
        <v>69</v>
      </c>
      <c r="D297" s="142" t="s">
        <v>241</v>
      </c>
      <c r="E297" s="158" t="s">
        <v>360</v>
      </c>
      <c r="F297" s="142" t="s">
        <v>142</v>
      </c>
      <c r="G297" s="141">
        <v>104000</v>
      </c>
      <c r="H297" s="141" t="s">
        <v>110</v>
      </c>
      <c r="I297" s="141" t="s">
        <v>247</v>
      </c>
      <c r="J297" s="159" t="s">
        <v>248</v>
      </c>
      <c r="K297" s="160">
        <v>0</v>
      </c>
      <c r="L297" s="141"/>
      <c r="M297" s="161">
        <v>22517.599999999999</v>
      </c>
      <c r="N297" s="161">
        <v>31000</v>
      </c>
      <c r="O297" s="161">
        <v>-1000</v>
      </c>
      <c r="P297" s="161">
        <v>30000</v>
      </c>
      <c r="Q297" s="104">
        <f t="shared" si="17"/>
        <v>-7482.4000000000015</v>
      </c>
      <c r="R297" s="104"/>
      <c r="S297" s="66">
        <f t="shared" si="18"/>
        <v>2569.2581599999999</v>
      </c>
    </row>
    <row r="298" spans="1:19" ht="15" x14ac:dyDescent="0.25">
      <c r="A298" s="141" t="s">
        <v>148</v>
      </c>
      <c r="B298" s="141" t="s">
        <v>310</v>
      </c>
      <c r="C298" s="141" t="s">
        <v>69</v>
      </c>
      <c r="D298" s="142" t="s">
        <v>241</v>
      </c>
      <c r="E298" s="158" t="s">
        <v>360</v>
      </c>
      <c r="F298" s="142" t="s">
        <v>142</v>
      </c>
      <c r="G298" s="141">
        <v>105003</v>
      </c>
      <c r="H298" s="141" t="s">
        <v>268</v>
      </c>
      <c r="I298" s="141" t="s">
        <v>247</v>
      </c>
      <c r="J298" s="159" t="s">
        <v>248</v>
      </c>
      <c r="K298" s="160">
        <v>0</v>
      </c>
      <c r="L298" s="141"/>
      <c r="M298" s="163">
        <v>353142.19</v>
      </c>
      <c r="N298" s="161">
        <v>0</v>
      </c>
      <c r="O298" s="161">
        <v>0</v>
      </c>
      <c r="P298" s="161">
        <v>0</v>
      </c>
      <c r="Q298" s="104">
        <f t="shared" si="17"/>
        <v>353142.19</v>
      </c>
      <c r="R298" s="104"/>
      <c r="S298" s="66">
        <f t="shared" si="18"/>
        <v>40293.523879000008</v>
      </c>
    </row>
    <row r="299" spans="1:19" ht="15" x14ac:dyDescent="0.25">
      <c r="A299" s="141" t="s">
        <v>148</v>
      </c>
      <c r="B299" s="141" t="s">
        <v>310</v>
      </c>
      <c r="C299" s="141" t="s">
        <v>69</v>
      </c>
      <c r="D299" s="142" t="s">
        <v>241</v>
      </c>
      <c r="E299" s="158" t="s">
        <v>360</v>
      </c>
      <c r="F299" s="142" t="s">
        <v>142</v>
      </c>
      <c r="G299" s="141">
        <v>105010</v>
      </c>
      <c r="H299" s="141" t="s">
        <v>118</v>
      </c>
      <c r="I299" s="141" t="s">
        <v>247</v>
      </c>
      <c r="J299" s="159" t="s">
        <v>248</v>
      </c>
      <c r="K299" s="160">
        <v>0</v>
      </c>
      <c r="L299" s="141"/>
      <c r="M299" s="161">
        <v>4749.12</v>
      </c>
      <c r="N299" s="161">
        <v>0</v>
      </c>
      <c r="O299" s="161">
        <v>0</v>
      </c>
      <c r="P299" s="161">
        <v>0</v>
      </c>
      <c r="Q299" s="104">
        <f t="shared" si="17"/>
        <v>4749.12</v>
      </c>
      <c r="R299" s="104"/>
      <c r="S299" s="66">
        <f t="shared" si="18"/>
        <v>541.87459200000001</v>
      </c>
    </row>
    <row r="300" spans="1:19" ht="15" x14ac:dyDescent="0.25">
      <c r="A300" s="141" t="s">
        <v>148</v>
      </c>
      <c r="B300" s="141" t="s">
        <v>310</v>
      </c>
      <c r="C300" s="141" t="s">
        <v>69</v>
      </c>
      <c r="D300" s="142" t="s">
        <v>241</v>
      </c>
      <c r="E300" s="158" t="s">
        <v>360</v>
      </c>
      <c r="F300" s="142" t="s">
        <v>142</v>
      </c>
      <c r="G300" s="141">
        <v>105019</v>
      </c>
      <c r="H300" s="141" t="s">
        <v>111</v>
      </c>
      <c r="I300" s="141" t="s">
        <v>247</v>
      </c>
      <c r="J300" s="159" t="s">
        <v>248</v>
      </c>
      <c r="K300" s="160">
        <v>0</v>
      </c>
      <c r="L300" s="141"/>
      <c r="M300" s="161">
        <v>216.95</v>
      </c>
      <c r="N300" s="161">
        <v>0</v>
      </c>
      <c r="O300" s="161">
        <v>0</v>
      </c>
      <c r="P300" s="161">
        <v>0</v>
      </c>
      <c r="Q300" s="104">
        <f t="shared" si="17"/>
        <v>216.95</v>
      </c>
      <c r="R300" s="104"/>
      <c r="S300" s="66">
        <f t="shared" si="18"/>
        <v>24.753995</v>
      </c>
    </row>
    <row r="301" spans="1:19" ht="15" x14ac:dyDescent="0.25">
      <c r="A301" s="141" t="s">
        <v>148</v>
      </c>
      <c r="B301" s="141" t="s">
        <v>310</v>
      </c>
      <c r="C301" s="141" t="s">
        <v>69</v>
      </c>
      <c r="D301" s="142" t="s">
        <v>241</v>
      </c>
      <c r="E301" s="158" t="s">
        <v>360</v>
      </c>
      <c r="F301" s="142" t="s">
        <v>142</v>
      </c>
      <c r="G301" s="141">
        <v>105019</v>
      </c>
      <c r="H301" s="141" t="s">
        <v>111</v>
      </c>
      <c r="I301" s="141" t="s">
        <v>247</v>
      </c>
      <c r="J301" s="159" t="s">
        <v>368</v>
      </c>
      <c r="K301" s="160">
        <v>0</v>
      </c>
      <c r="L301" s="141"/>
      <c r="M301" s="161">
        <v>297.92</v>
      </c>
      <c r="N301" s="161">
        <v>0</v>
      </c>
      <c r="O301" s="161">
        <v>0</v>
      </c>
      <c r="P301" s="161">
        <v>0</v>
      </c>
      <c r="Q301" s="104">
        <f t="shared" si="17"/>
        <v>297.92</v>
      </c>
      <c r="R301" s="104"/>
      <c r="S301" s="66">
        <f t="shared" si="18"/>
        <v>33.992671999999999</v>
      </c>
    </row>
    <row r="302" spans="1:19" ht="15" x14ac:dyDescent="0.25">
      <c r="A302" s="141" t="s">
        <v>148</v>
      </c>
      <c r="B302" s="141" t="s">
        <v>310</v>
      </c>
      <c r="C302" s="141" t="s">
        <v>69</v>
      </c>
      <c r="D302" s="142" t="s">
        <v>241</v>
      </c>
      <c r="E302" s="158" t="s">
        <v>360</v>
      </c>
      <c r="F302" s="142" t="s">
        <v>142</v>
      </c>
      <c r="G302" s="141">
        <v>105098</v>
      </c>
      <c r="H302" s="141" t="s">
        <v>265</v>
      </c>
      <c r="I302" s="141" t="s">
        <v>247</v>
      </c>
      <c r="J302" s="159" t="s">
        <v>302</v>
      </c>
      <c r="K302" s="160">
        <v>0</v>
      </c>
      <c r="L302" s="141"/>
      <c r="M302" s="161">
        <v>-4392</v>
      </c>
      <c r="N302" s="161">
        <v>0</v>
      </c>
      <c r="O302" s="161">
        <v>0</v>
      </c>
      <c r="P302" s="161">
        <v>0</v>
      </c>
      <c r="Q302" s="104">
        <f t="shared" si="17"/>
        <v>-4392</v>
      </c>
      <c r="R302" s="104"/>
      <c r="S302" s="66">
        <f t="shared" si="18"/>
        <v>-501.12720000000007</v>
      </c>
    </row>
    <row r="303" spans="1:19" ht="15" x14ac:dyDescent="0.25">
      <c r="A303" s="141" t="s">
        <v>148</v>
      </c>
      <c r="B303" s="141" t="s">
        <v>310</v>
      </c>
      <c r="C303" s="141" t="s">
        <v>69</v>
      </c>
      <c r="D303" s="142" t="s">
        <v>241</v>
      </c>
      <c r="E303" s="158" t="s">
        <v>360</v>
      </c>
      <c r="F303" s="142" t="s">
        <v>142</v>
      </c>
      <c r="G303" s="141">
        <v>105099</v>
      </c>
      <c r="H303" s="141" t="s">
        <v>103</v>
      </c>
      <c r="I303" s="141" t="s">
        <v>247</v>
      </c>
      <c r="J303" s="159" t="s">
        <v>303</v>
      </c>
      <c r="K303" s="160">
        <v>0</v>
      </c>
      <c r="L303" s="141"/>
      <c r="M303" s="161">
        <v>4392</v>
      </c>
      <c r="N303" s="161">
        <v>0</v>
      </c>
      <c r="O303" s="161">
        <v>0</v>
      </c>
      <c r="P303" s="161">
        <v>0</v>
      </c>
      <c r="Q303" s="104">
        <f t="shared" si="17"/>
        <v>4392</v>
      </c>
      <c r="R303" s="104"/>
      <c r="S303" s="66">
        <f t="shared" si="18"/>
        <v>501.12720000000007</v>
      </c>
    </row>
    <row r="304" spans="1:19" ht="15" x14ac:dyDescent="0.25">
      <c r="A304" s="141" t="s">
        <v>148</v>
      </c>
      <c r="B304" s="141" t="s">
        <v>310</v>
      </c>
      <c r="C304" s="141" t="s">
        <v>69</v>
      </c>
      <c r="D304" s="142" t="s">
        <v>241</v>
      </c>
      <c r="E304" s="158" t="s">
        <v>360</v>
      </c>
      <c r="F304" s="142" t="s">
        <v>142</v>
      </c>
      <c r="G304" s="144">
        <v>109001</v>
      </c>
      <c r="H304" s="141" t="s">
        <v>101</v>
      </c>
      <c r="I304" s="141" t="s">
        <v>247</v>
      </c>
      <c r="J304" s="159" t="s">
        <v>248</v>
      </c>
      <c r="K304" s="160">
        <v>0</v>
      </c>
      <c r="L304" s="141"/>
      <c r="M304" s="161">
        <v>382962.3</v>
      </c>
      <c r="N304" s="161">
        <v>353000</v>
      </c>
      <c r="O304" s="161">
        <v>10000</v>
      </c>
      <c r="P304" s="161">
        <v>363000</v>
      </c>
      <c r="Q304" s="104">
        <f t="shared" si="17"/>
        <v>19962.299999999988</v>
      </c>
      <c r="R304" s="129">
        <f t="shared" ref="R304:R306" si="20">M304*-1.141</f>
        <v>-436959.98430000001</v>
      </c>
    </row>
    <row r="305" spans="1:19" ht="15" x14ac:dyDescent="0.25">
      <c r="A305" s="141" t="s">
        <v>148</v>
      </c>
      <c r="B305" s="141" t="s">
        <v>310</v>
      </c>
      <c r="C305" s="141" t="s">
        <v>69</v>
      </c>
      <c r="D305" s="142" t="s">
        <v>241</v>
      </c>
      <c r="E305" s="158" t="s">
        <v>360</v>
      </c>
      <c r="F305" s="142" t="s">
        <v>142</v>
      </c>
      <c r="G305" s="144">
        <v>109001</v>
      </c>
      <c r="H305" s="141" t="s">
        <v>101</v>
      </c>
      <c r="I305" s="141" t="s">
        <v>247</v>
      </c>
      <c r="J305" s="159" t="s">
        <v>297</v>
      </c>
      <c r="K305" s="160">
        <v>0</v>
      </c>
      <c r="L305" s="141"/>
      <c r="M305" s="161">
        <v>186.83</v>
      </c>
      <c r="N305" s="161">
        <v>0</v>
      </c>
      <c r="O305" s="161">
        <v>0</v>
      </c>
      <c r="P305" s="161">
        <v>0</v>
      </c>
      <c r="Q305" s="104">
        <f t="shared" si="17"/>
        <v>186.83</v>
      </c>
      <c r="R305" s="129">
        <f t="shared" si="20"/>
        <v>-213.17303000000001</v>
      </c>
    </row>
    <row r="306" spans="1:19" ht="15" x14ac:dyDescent="0.25">
      <c r="A306" s="141" t="s">
        <v>148</v>
      </c>
      <c r="B306" s="141" t="s">
        <v>310</v>
      </c>
      <c r="C306" s="141" t="s">
        <v>69</v>
      </c>
      <c r="D306" s="142" t="s">
        <v>241</v>
      </c>
      <c r="E306" s="158" t="s">
        <v>360</v>
      </c>
      <c r="F306" s="142" t="s">
        <v>142</v>
      </c>
      <c r="G306" s="144">
        <v>109001</v>
      </c>
      <c r="H306" s="141" t="s">
        <v>101</v>
      </c>
      <c r="I306" s="141" t="s">
        <v>247</v>
      </c>
      <c r="J306" s="159" t="s">
        <v>286</v>
      </c>
      <c r="K306" s="160">
        <v>0</v>
      </c>
      <c r="L306" s="141"/>
      <c r="M306" s="161">
        <v>868.61</v>
      </c>
      <c r="N306" s="161">
        <v>0</v>
      </c>
      <c r="O306" s="161">
        <v>0</v>
      </c>
      <c r="P306" s="161">
        <v>0</v>
      </c>
      <c r="Q306" s="104">
        <f t="shared" si="17"/>
        <v>868.61</v>
      </c>
      <c r="R306" s="129">
        <f t="shared" si="20"/>
        <v>-991.08401000000003</v>
      </c>
    </row>
    <row r="307" spans="1:19" ht="15" x14ac:dyDescent="0.25">
      <c r="A307" s="141" t="s">
        <v>148</v>
      </c>
      <c r="B307" s="141" t="s">
        <v>310</v>
      </c>
      <c r="C307" s="141" t="s">
        <v>69</v>
      </c>
      <c r="D307" s="142" t="s">
        <v>241</v>
      </c>
      <c r="E307" s="158" t="s">
        <v>360</v>
      </c>
      <c r="F307" s="142" t="s">
        <v>142</v>
      </c>
      <c r="G307" s="144">
        <v>109901</v>
      </c>
      <c r="H307" s="141" t="s">
        <v>102</v>
      </c>
      <c r="I307" s="141" t="s">
        <v>247</v>
      </c>
      <c r="J307" s="159" t="s">
        <v>248</v>
      </c>
      <c r="K307" s="160">
        <v>0</v>
      </c>
      <c r="L307" s="141"/>
      <c r="M307" s="161">
        <v>602540.06000000006</v>
      </c>
      <c r="N307" s="161">
        <v>583000</v>
      </c>
      <c r="O307" s="161">
        <v>11000</v>
      </c>
      <c r="P307" s="161">
        <v>594000</v>
      </c>
      <c r="Q307" s="104">
        <f t="shared" si="17"/>
        <v>8540.0600000000559</v>
      </c>
      <c r="R307" s="129"/>
    </row>
    <row r="308" spans="1:19" ht="15" x14ac:dyDescent="0.25">
      <c r="A308" s="141" t="s">
        <v>148</v>
      </c>
      <c r="B308" s="141" t="s">
        <v>310</v>
      </c>
      <c r="C308" s="141" t="s">
        <v>69</v>
      </c>
      <c r="D308" s="142" t="s">
        <v>241</v>
      </c>
      <c r="E308" s="158" t="s">
        <v>360</v>
      </c>
      <c r="F308" s="142" t="s">
        <v>142</v>
      </c>
      <c r="G308" s="144">
        <v>109901</v>
      </c>
      <c r="H308" s="141" t="s">
        <v>102</v>
      </c>
      <c r="I308" s="141" t="s">
        <v>247</v>
      </c>
      <c r="J308" s="159" t="s">
        <v>367</v>
      </c>
      <c r="K308" s="160">
        <v>0</v>
      </c>
      <c r="L308" s="141"/>
      <c r="M308" s="161">
        <v>10.1</v>
      </c>
      <c r="N308" s="161">
        <v>0</v>
      </c>
      <c r="O308" s="161">
        <v>0</v>
      </c>
      <c r="P308" s="161">
        <v>0</v>
      </c>
      <c r="Q308" s="104">
        <f t="shared" si="17"/>
        <v>10.1</v>
      </c>
      <c r="R308" s="129"/>
    </row>
    <row r="309" spans="1:19" ht="15" x14ac:dyDescent="0.25">
      <c r="A309" s="141" t="s">
        <v>148</v>
      </c>
      <c r="B309" s="141" t="s">
        <v>310</v>
      </c>
      <c r="C309" s="141" t="s">
        <v>69</v>
      </c>
      <c r="D309" s="142" t="s">
        <v>241</v>
      </c>
      <c r="E309" s="158" t="s">
        <v>360</v>
      </c>
      <c r="F309" s="142" t="s">
        <v>142</v>
      </c>
      <c r="G309" s="144">
        <v>109901</v>
      </c>
      <c r="H309" s="141" t="s">
        <v>102</v>
      </c>
      <c r="I309" s="141" t="s">
        <v>247</v>
      </c>
      <c r="J309" s="159" t="s">
        <v>288</v>
      </c>
      <c r="K309" s="160">
        <v>0</v>
      </c>
      <c r="L309" s="141"/>
      <c r="M309" s="161">
        <v>-533.54999999999995</v>
      </c>
      <c r="N309" s="161">
        <v>0</v>
      </c>
      <c r="O309" s="161">
        <v>0</v>
      </c>
      <c r="P309" s="161">
        <v>0</v>
      </c>
      <c r="Q309" s="104">
        <f t="shared" si="17"/>
        <v>-533.54999999999995</v>
      </c>
      <c r="R309" s="104"/>
    </row>
    <row r="310" spans="1:19" ht="15" x14ac:dyDescent="0.25">
      <c r="A310" s="141" t="s">
        <v>148</v>
      </c>
      <c r="B310" s="141" t="s">
        <v>310</v>
      </c>
      <c r="C310" s="141" t="s">
        <v>69</v>
      </c>
      <c r="D310" s="142" t="s">
        <v>241</v>
      </c>
      <c r="E310" s="158" t="s">
        <v>360</v>
      </c>
      <c r="F310" s="142" t="s">
        <v>142</v>
      </c>
      <c r="G310" s="144">
        <v>109901</v>
      </c>
      <c r="H310" s="141" t="s">
        <v>102</v>
      </c>
      <c r="I310" s="141" t="s">
        <v>247</v>
      </c>
      <c r="J310" s="159" t="s">
        <v>303</v>
      </c>
      <c r="K310" s="160">
        <v>0</v>
      </c>
      <c r="L310" s="141"/>
      <c r="M310" s="161">
        <v>619.32000000000005</v>
      </c>
      <c r="N310" s="161">
        <v>0</v>
      </c>
      <c r="O310" s="161">
        <v>0</v>
      </c>
      <c r="P310" s="161">
        <v>0</v>
      </c>
      <c r="Q310" s="104">
        <f t="shared" si="17"/>
        <v>619.32000000000005</v>
      </c>
      <c r="R310" s="129"/>
    </row>
    <row r="311" spans="1:19" ht="15" x14ac:dyDescent="0.25">
      <c r="A311" s="141" t="s">
        <v>148</v>
      </c>
      <c r="B311" s="141" t="s">
        <v>310</v>
      </c>
      <c r="C311" s="141" t="s">
        <v>69</v>
      </c>
      <c r="D311" s="142" t="s">
        <v>241</v>
      </c>
      <c r="E311" s="158" t="s">
        <v>360</v>
      </c>
      <c r="F311" s="142" t="s">
        <v>142</v>
      </c>
      <c r="G311" s="144">
        <v>109901</v>
      </c>
      <c r="H311" s="141" t="s">
        <v>102</v>
      </c>
      <c r="I311" s="141" t="s">
        <v>247</v>
      </c>
      <c r="J311" s="159" t="s">
        <v>368</v>
      </c>
      <c r="K311" s="160">
        <v>0</v>
      </c>
      <c r="L311" s="141"/>
      <c r="M311" s="161">
        <v>42.01</v>
      </c>
      <c r="N311" s="161">
        <v>0</v>
      </c>
      <c r="O311" s="161">
        <v>0</v>
      </c>
      <c r="P311" s="161">
        <v>0</v>
      </c>
      <c r="Q311" s="104">
        <f t="shared" si="17"/>
        <v>42.01</v>
      </c>
      <c r="R311" s="129"/>
    </row>
    <row r="312" spans="1:19" ht="15" x14ac:dyDescent="0.25">
      <c r="A312" s="141" t="s">
        <v>148</v>
      </c>
      <c r="B312" s="141" t="s">
        <v>310</v>
      </c>
      <c r="C312" s="141" t="s">
        <v>69</v>
      </c>
      <c r="D312" s="142" t="s">
        <v>241</v>
      </c>
      <c r="E312" s="158" t="s">
        <v>360</v>
      </c>
      <c r="F312" s="142" t="s">
        <v>142</v>
      </c>
      <c r="G312" s="144">
        <v>109901</v>
      </c>
      <c r="H312" s="141" t="s">
        <v>102</v>
      </c>
      <c r="I312" s="141" t="s">
        <v>247</v>
      </c>
      <c r="J312" s="159" t="s">
        <v>297</v>
      </c>
      <c r="K312" s="160">
        <v>0</v>
      </c>
      <c r="L312" s="141"/>
      <c r="M312" s="161">
        <v>304.35000000000002</v>
      </c>
      <c r="N312" s="161">
        <v>0</v>
      </c>
      <c r="O312" s="161">
        <v>0</v>
      </c>
      <c r="P312" s="161">
        <v>0</v>
      </c>
      <c r="Q312" s="104">
        <f t="shared" si="17"/>
        <v>304.35000000000002</v>
      </c>
      <c r="R312" s="129"/>
    </row>
    <row r="313" spans="1:19" ht="15" x14ac:dyDescent="0.25">
      <c r="A313" s="141" t="s">
        <v>148</v>
      </c>
      <c r="B313" s="141" t="s">
        <v>310</v>
      </c>
      <c r="C313" s="141" t="s">
        <v>69</v>
      </c>
      <c r="D313" s="142" t="s">
        <v>241</v>
      </c>
      <c r="E313" s="158" t="s">
        <v>360</v>
      </c>
      <c r="F313" s="142" t="s">
        <v>142</v>
      </c>
      <c r="G313" s="144">
        <v>109901</v>
      </c>
      <c r="H313" s="141" t="s">
        <v>102</v>
      </c>
      <c r="I313" s="141" t="s">
        <v>247</v>
      </c>
      <c r="J313" s="159" t="s">
        <v>286</v>
      </c>
      <c r="K313" s="160">
        <v>0</v>
      </c>
      <c r="L313" s="141"/>
      <c r="M313" s="161">
        <v>1414.98</v>
      </c>
      <c r="N313" s="161">
        <v>0</v>
      </c>
      <c r="O313" s="161">
        <v>0</v>
      </c>
      <c r="P313" s="161">
        <v>0</v>
      </c>
      <c r="Q313" s="104">
        <f t="shared" si="17"/>
        <v>1414.98</v>
      </c>
      <c r="R313" s="104"/>
    </row>
    <row r="314" spans="1:19" ht="15" x14ac:dyDescent="0.25">
      <c r="A314" s="141" t="s">
        <v>148</v>
      </c>
      <c r="B314" s="141" t="s">
        <v>311</v>
      </c>
      <c r="C314" s="141" t="s">
        <v>162</v>
      </c>
      <c r="D314" s="142" t="s">
        <v>241</v>
      </c>
      <c r="E314" s="158" t="s">
        <v>369</v>
      </c>
      <c r="F314" s="142" t="s">
        <v>142</v>
      </c>
      <c r="G314" s="141">
        <v>101001</v>
      </c>
      <c r="H314" s="141" t="s">
        <v>104</v>
      </c>
      <c r="I314" s="141" t="s">
        <v>247</v>
      </c>
      <c r="J314" s="159" t="s">
        <v>248</v>
      </c>
      <c r="K314" s="160">
        <v>0</v>
      </c>
      <c r="L314" s="141"/>
      <c r="M314" s="161">
        <v>8667763.7899999991</v>
      </c>
      <c r="N314" s="161">
        <v>8451000</v>
      </c>
      <c r="O314" s="161">
        <v>486000</v>
      </c>
      <c r="P314" s="161">
        <v>8937000</v>
      </c>
      <c r="Q314" s="104">
        <f t="shared" si="17"/>
        <v>-269236.21000000089</v>
      </c>
      <c r="R314" s="104"/>
      <c r="S314" s="66">
        <f t="shared" si="18"/>
        <v>988991.84843899996</v>
      </c>
    </row>
    <row r="315" spans="1:19" ht="15" x14ac:dyDescent="0.25">
      <c r="A315" s="141" t="s">
        <v>148</v>
      </c>
      <c r="B315" s="141" t="s">
        <v>311</v>
      </c>
      <c r="C315" s="141" t="s">
        <v>162</v>
      </c>
      <c r="D315" s="142" t="s">
        <v>241</v>
      </c>
      <c r="E315" s="158" t="s">
        <v>369</v>
      </c>
      <c r="F315" s="142" t="s">
        <v>142</v>
      </c>
      <c r="G315" s="141">
        <v>101002</v>
      </c>
      <c r="H315" s="141" t="s">
        <v>105</v>
      </c>
      <c r="I315" s="141" t="s">
        <v>247</v>
      </c>
      <c r="J315" s="159" t="s">
        <v>248</v>
      </c>
      <c r="K315" s="160">
        <v>0</v>
      </c>
      <c r="L315" s="141"/>
      <c r="M315" s="161">
        <v>16605.27</v>
      </c>
      <c r="N315" s="161">
        <v>0</v>
      </c>
      <c r="O315" s="161">
        <v>0</v>
      </c>
      <c r="P315" s="161">
        <v>0</v>
      </c>
      <c r="Q315" s="104">
        <f t="shared" si="17"/>
        <v>16605.27</v>
      </c>
      <c r="R315" s="104"/>
      <c r="S315" s="66">
        <f t="shared" si="18"/>
        <v>1894.6613070000001</v>
      </c>
    </row>
    <row r="316" spans="1:19" ht="15" x14ac:dyDescent="0.25">
      <c r="A316" s="141" t="s">
        <v>148</v>
      </c>
      <c r="B316" s="141" t="s">
        <v>311</v>
      </c>
      <c r="C316" s="141" t="s">
        <v>162</v>
      </c>
      <c r="D316" s="142" t="s">
        <v>241</v>
      </c>
      <c r="E316" s="158" t="s">
        <v>369</v>
      </c>
      <c r="F316" s="142" t="s">
        <v>142</v>
      </c>
      <c r="G316" s="141">
        <v>101002</v>
      </c>
      <c r="H316" s="141" t="s">
        <v>105</v>
      </c>
      <c r="I316" s="141" t="s">
        <v>247</v>
      </c>
      <c r="J316" s="159" t="s">
        <v>286</v>
      </c>
      <c r="K316" s="160">
        <v>0</v>
      </c>
      <c r="L316" s="141"/>
      <c r="M316" s="161">
        <v>13192.53</v>
      </c>
      <c r="N316" s="161">
        <v>0</v>
      </c>
      <c r="O316" s="161">
        <v>0</v>
      </c>
      <c r="P316" s="161">
        <v>0</v>
      </c>
      <c r="Q316" s="104">
        <f t="shared" si="17"/>
        <v>13192.53</v>
      </c>
      <c r="R316" s="104"/>
      <c r="S316" s="66">
        <f t="shared" si="18"/>
        <v>1505.2676730000003</v>
      </c>
    </row>
    <row r="317" spans="1:19" ht="15" x14ac:dyDescent="0.25">
      <c r="A317" s="141" t="s">
        <v>148</v>
      </c>
      <c r="B317" s="141" t="s">
        <v>311</v>
      </c>
      <c r="C317" s="141" t="s">
        <v>162</v>
      </c>
      <c r="D317" s="142" t="s">
        <v>241</v>
      </c>
      <c r="E317" s="158" t="s">
        <v>369</v>
      </c>
      <c r="F317" s="142" t="s">
        <v>142</v>
      </c>
      <c r="G317" s="141">
        <v>101002</v>
      </c>
      <c r="H317" s="141" t="s">
        <v>105</v>
      </c>
      <c r="I317" s="141" t="s">
        <v>247</v>
      </c>
      <c r="J317" s="159" t="s">
        <v>365</v>
      </c>
      <c r="K317" s="160">
        <v>0</v>
      </c>
      <c r="L317" s="141"/>
      <c r="M317" s="161">
        <v>2189.83</v>
      </c>
      <c r="N317" s="161">
        <v>0</v>
      </c>
      <c r="O317" s="161">
        <v>0</v>
      </c>
      <c r="P317" s="161">
        <v>0</v>
      </c>
      <c r="Q317" s="104">
        <f t="shared" si="17"/>
        <v>2189.83</v>
      </c>
      <c r="R317" s="104"/>
      <c r="S317" s="66">
        <f t="shared" si="18"/>
        <v>249.85960300000002</v>
      </c>
    </row>
    <row r="318" spans="1:19" ht="15" x14ac:dyDescent="0.25">
      <c r="A318" s="141" t="s">
        <v>148</v>
      </c>
      <c r="B318" s="141" t="s">
        <v>311</v>
      </c>
      <c r="C318" s="141" t="s">
        <v>162</v>
      </c>
      <c r="D318" s="142" t="s">
        <v>241</v>
      </c>
      <c r="E318" s="158" t="s">
        <v>369</v>
      </c>
      <c r="F318" s="142" t="s">
        <v>142</v>
      </c>
      <c r="G318" s="141">
        <v>101039</v>
      </c>
      <c r="H318" s="141" t="s">
        <v>107</v>
      </c>
      <c r="I318" s="141" t="s">
        <v>247</v>
      </c>
      <c r="J318" s="159" t="s">
        <v>248</v>
      </c>
      <c r="K318" s="160">
        <v>0</v>
      </c>
      <c r="L318" s="141"/>
      <c r="M318" s="161">
        <v>260235.05</v>
      </c>
      <c r="N318" s="161">
        <v>0</v>
      </c>
      <c r="O318" s="161">
        <v>0</v>
      </c>
      <c r="P318" s="161">
        <v>0</v>
      </c>
      <c r="Q318" s="104">
        <f t="shared" si="17"/>
        <v>260235.05</v>
      </c>
      <c r="R318" s="104"/>
      <c r="S318" s="66">
        <f t="shared" si="18"/>
        <v>29692.819205</v>
      </c>
    </row>
    <row r="319" spans="1:19" ht="15" x14ac:dyDescent="0.25">
      <c r="A319" s="141" t="s">
        <v>148</v>
      </c>
      <c r="B319" s="141" t="s">
        <v>311</v>
      </c>
      <c r="C319" s="141" t="s">
        <v>162</v>
      </c>
      <c r="D319" s="142" t="s">
        <v>241</v>
      </c>
      <c r="E319" s="158" t="s">
        <v>369</v>
      </c>
      <c r="F319" s="142" t="s">
        <v>142</v>
      </c>
      <c r="G319" s="141">
        <v>101039</v>
      </c>
      <c r="H319" s="141" t="s">
        <v>107</v>
      </c>
      <c r="I319" s="141" t="s">
        <v>247</v>
      </c>
      <c r="J319" s="159" t="s">
        <v>364</v>
      </c>
      <c r="K319" s="160">
        <v>0</v>
      </c>
      <c r="L319" s="141"/>
      <c r="M319" s="161">
        <v>13439.95</v>
      </c>
      <c r="N319" s="161">
        <v>0</v>
      </c>
      <c r="O319" s="161">
        <v>28000</v>
      </c>
      <c r="P319" s="161">
        <v>28000</v>
      </c>
      <c r="Q319" s="104">
        <f t="shared" si="17"/>
        <v>-14560.05</v>
      </c>
      <c r="R319" s="104"/>
      <c r="S319" s="66">
        <f t="shared" si="18"/>
        <v>1533.4982950000001</v>
      </c>
    </row>
    <row r="320" spans="1:19" ht="15" x14ac:dyDescent="0.25">
      <c r="A320" s="141" t="s">
        <v>148</v>
      </c>
      <c r="B320" s="141" t="s">
        <v>311</v>
      </c>
      <c r="C320" s="141" t="s">
        <v>162</v>
      </c>
      <c r="D320" s="142" t="s">
        <v>241</v>
      </c>
      <c r="E320" s="158" t="s">
        <v>369</v>
      </c>
      <c r="F320" s="142" t="s">
        <v>142</v>
      </c>
      <c r="G320" s="141">
        <v>102002</v>
      </c>
      <c r="H320" s="141" t="s">
        <v>108</v>
      </c>
      <c r="I320" s="141" t="s">
        <v>247</v>
      </c>
      <c r="J320" s="159" t="s">
        <v>248</v>
      </c>
      <c r="K320" s="160">
        <v>0</v>
      </c>
      <c r="L320" s="141"/>
      <c r="M320" s="161">
        <v>9829.42</v>
      </c>
      <c r="N320" s="161">
        <v>0</v>
      </c>
      <c r="O320" s="161">
        <v>0</v>
      </c>
      <c r="P320" s="161">
        <v>0</v>
      </c>
      <c r="Q320" s="104">
        <f t="shared" si="17"/>
        <v>9829.42</v>
      </c>
      <c r="R320" s="104"/>
      <c r="S320" s="66">
        <f t="shared" si="18"/>
        <v>1121.536822</v>
      </c>
    </row>
    <row r="321" spans="1:19" ht="15" x14ac:dyDescent="0.25">
      <c r="A321" s="141" t="s">
        <v>148</v>
      </c>
      <c r="B321" s="141" t="s">
        <v>311</v>
      </c>
      <c r="C321" s="141" t="s">
        <v>162</v>
      </c>
      <c r="D321" s="142" t="s">
        <v>241</v>
      </c>
      <c r="E321" s="158" t="s">
        <v>369</v>
      </c>
      <c r="F321" s="142" t="s">
        <v>142</v>
      </c>
      <c r="G321" s="141">
        <v>102002</v>
      </c>
      <c r="H321" s="141" t="s">
        <v>108</v>
      </c>
      <c r="I321" s="141" t="s">
        <v>247</v>
      </c>
      <c r="J321" s="159" t="s">
        <v>286</v>
      </c>
      <c r="K321" s="160">
        <v>0</v>
      </c>
      <c r="L321" s="141"/>
      <c r="M321" s="161">
        <v>7825.36</v>
      </c>
      <c r="N321" s="161">
        <v>0</v>
      </c>
      <c r="O321" s="161">
        <v>0</v>
      </c>
      <c r="P321" s="161">
        <v>0</v>
      </c>
      <c r="Q321" s="104">
        <f t="shared" si="17"/>
        <v>7825.36</v>
      </c>
      <c r="R321" s="104"/>
      <c r="S321" s="66">
        <f t="shared" si="18"/>
        <v>892.87357600000007</v>
      </c>
    </row>
    <row r="322" spans="1:19" ht="15" x14ac:dyDescent="0.25">
      <c r="A322" s="141" t="s">
        <v>148</v>
      </c>
      <c r="B322" s="141" t="s">
        <v>311</v>
      </c>
      <c r="C322" s="141" t="s">
        <v>162</v>
      </c>
      <c r="D322" s="142" t="s">
        <v>241</v>
      </c>
      <c r="E322" s="158" t="s">
        <v>369</v>
      </c>
      <c r="F322" s="142" t="s">
        <v>142</v>
      </c>
      <c r="G322" s="141">
        <v>102003</v>
      </c>
      <c r="H322" s="141" t="s">
        <v>106</v>
      </c>
      <c r="I322" s="141" t="s">
        <v>247</v>
      </c>
      <c r="J322" s="159" t="s">
        <v>248</v>
      </c>
      <c r="K322" s="160">
        <v>0</v>
      </c>
      <c r="L322" s="141"/>
      <c r="M322" s="161">
        <v>174017.96</v>
      </c>
      <c r="N322" s="161">
        <v>188000</v>
      </c>
      <c r="O322" s="161">
        <v>81000</v>
      </c>
      <c r="P322" s="161">
        <v>269000</v>
      </c>
      <c r="Q322" s="104">
        <f t="shared" si="17"/>
        <v>-94982.040000000008</v>
      </c>
      <c r="R322" s="104"/>
      <c r="S322" s="66">
        <f t="shared" si="18"/>
        <v>19855.449235999997</v>
      </c>
    </row>
    <row r="323" spans="1:19" ht="15" x14ac:dyDescent="0.25">
      <c r="A323" s="141" t="s">
        <v>148</v>
      </c>
      <c r="B323" s="141" t="s">
        <v>311</v>
      </c>
      <c r="C323" s="141" t="s">
        <v>162</v>
      </c>
      <c r="D323" s="142" t="s">
        <v>241</v>
      </c>
      <c r="E323" s="158" t="s">
        <v>369</v>
      </c>
      <c r="F323" s="142" t="s">
        <v>142</v>
      </c>
      <c r="G323" s="141">
        <v>102005</v>
      </c>
      <c r="H323" s="141" t="s">
        <v>112</v>
      </c>
      <c r="I323" s="141" t="s">
        <v>247</v>
      </c>
      <c r="J323" s="159" t="s">
        <v>248</v>
      </c>
      <c r="K323" s="160">
        <v>0</v>
      </c>
      <c r="L323" s="141"/>
      <c r="M323" s="161">
        <v>150385.56</v>
      </c>
      <c r="N323" s="161">
        <v>0</v>
      </c>
      <c r="O323" s="161">
        <v>0</v>
      </c>
      <c r="P323" s="161">
        <v>0</v>
      </c>
      <c r="Q323" s="104">
        <f t="shared" si="17"/>
        <v>150385.56</v>
      </c>
      <c r="R323" s="104"/>
      <c r="S323" s="66">
        <f t="shared" si="18"/>
        <v>17158.992396000001</v>
      </c>
    </row>
    <row r="324" spans="1:19" ht="15" x14ac:dyDescent="0.25">
      <c r="A324" s="141" t="s">
        <v>148</v>
      </c>
      <c r="B324" s="141" t="s">
        <v>311</v>
      </c>
      <c r="C324" s="141" t="s">
        <v>162</v>
      </c>
      <c r="D324" s="142" t="s">
        <v>241</v>
      </c>
      <c r="E324" s="158" t="s">
        <v>369</v>
      </c>
      <c r="F324" s="142" t="s">
        <v>142</v>
      </c>
      <c r="G324" s="141">
        <v>102062</v>
      </c>
      <c r="H324" s="141" t="s">
        <v>113</v>
      </c>
      <c r="I324" s="141" t="s">
        <v>247</v>
      </c>
      <c r="J324" s="159" t="s">
        <v>248</v>
      </c>
      <c r="K324" s="160">
        <v>0</v>
      </c>
      <c r="L324" s="141"/>
      <c r="M324" s="161">
        <v>10450.31</v>
      </c>
      <c r="N324" s="161">
        <v>0</v>
      </c>
      <c r="O324" s="161">
        <v>0</v>
      </c>
      <c r="P324" s="161">
        <v>0</v>
      </c>
      <c r="Q324" s="104">
        <f t="shared" si="17"/>
        <v>10450.31</v>
      </c>
      <c r="R324" s="104"/>
      <c r="S324" s="66">
        <f t="shared" si="18"/>
        <v>1192.380371</v>
      </c>
    </row>
    <row r="325" spans="1:19" ht="15" x14ac:dyDescent="0.25">
      <c r="A325" s="141" t="s">
        <v>148</v>
      </c>
      <c r="B325" s="141" t="s">
        <v>311</v>
      </c>
      <c r="C325" s="141" t="s">
        <v>162</v>
      </c>
      <c r="D325" s="142" t="s">
        <v>241</v>
      </c>
      <c r="E325" s="158" t="s">
        <v>369</v>
      </c>
      <c r="F325" s="142" t="s">
        <v>142</v>
      </c>
      <c r="G325" s="141">
        <v>103001</v>
      </c>
      <c r="H325" s="141" t="s">
        <v>109</v>
      </c>
      <c r="I325" s="141" t="s">
        <v>247</v>
      </c>
      <c r="J325" s="159" t="s">
        <v>248</v>
      </c>
      <c r="K325" s="160">
        <v>0</v>
      </c>
      <c r="L325" s="141"/>
      <c r="M325" s="161">
        <v>53008.31</v>
      </c>
      <c r="N325" s="161">
        <v>0</v>
      </c>
      <c r="O325" s="161">
        <v>32000</v>
      </c>
      <c r="P325" s="161">
        <v>32000</v>
      </c>
      <c r="Q325" s="104">
        <f t="shared" si="17"/>
        <v>21008.309999999998</v>
      </c>
      <c r="R325" s="104"/>
      <c r="S325" s="66">
        <f t="shared" si="18"/>
        <v>6048.2481710000002</v>
      </c>
    </row>
    <row r="326" spans="1:19" ht="15" x14ac:dyDescent="0.25">
      <c r="A326" s="141" t="s">
        <v>148</v>
      </c>
      <c r="B326" s="141" t="s">
        <v>311</v>
      </c>
      <c r="C326" s="141" t="s">
        <v>162</v>
      </c>
      <c r="D326" s="142" t="s">
        <v>241</v>
      </c>
      <c r="E326" s="158" t="s">
        <v>369</v>
      </c>
      <c r="F326" s="142" t="s">
        <v>142</v>
      </c>
      <c r="G326" s="141">
        <v>103001</v>
      </c>
      <c r="H326" s="141" t="s">
        <v>109</v>
      </c>
      <c r="I326" s="141" t="s">
        <v>247</v>
      </c>
      <c r="J326" s="159" t="s">
        <v>307</v>
      </c>
      <c r="K326" s="160">
        <v>0</v>
      </c>
      <c r="L326" s="141"/>
      <c r="M326" s="161">
        <v>17934.34</v>
      </c>
      <c r="N326" s="161">
        <v>0</v>
      </c>
      <c r="O326" s="161">
        <v>0</v>
      </c>
      <c r="P326" s="161">
        <v>0</v>
      </c>
      <c r="Q326" s="104">
        <f t="shared" si="17"/>
        <v>17934.34</v>
      </c>
      <c r="R326" s="104"/>
      <c r="S326" s="66">
        <f t="shared" si="18"/>
        <v>2046.3081940000002</v>
      </c>
    </row>
    <row r="327" spans="1:19" ht="15" x14ac:dyDescent="0.25">
      <c r="A327" s="141" t="s">
        <v>148</v>
      </c>
      <c r="B327" s="141" t="s">
        <v>311</v>
      </c>
      <c r="C327" s="141" t="s">
        <v>162</v>
      </c>
      <c r="D327" s="142" t="s">
        <v>241</v>
      </c>
      <c r="E327" s="158" t="s">
        <v>369</v>
      </c>
      <c r="F327" s="142" t="s">
        <v>142</v>
      </c>
      <c r="G327" s="141">
        <v>103001</v>
      </c>
      <c r="H327" s="141" t="s">
        <v>109</v>
      </c>
      <c r="I327" s="141" t="s">
        <v>247</v>
      </c>
      <c r="J327" s="159" t="s">
        <v>286</v>
      </c>
      <c r="K327" s="160">
        <v>0</v>
      </c>
      <c r="L327" s="141"/>
      <c r="M327" s="161">
        <v>6068.98</v>
      </c>
      <c r="N327" s="161">
        <v>0</v>
      </c>
      <c r="O327" s="161">
        <v>0</v>
      </c>
      <c r="P327" s="161">
        <v>0</v>
      </c>
      <c r="Q327" s="104">
        <f t="shared" si="17"/>
        <v>6068.98</v>
      </c>
      <c r="R327" s="104"/>
      <c r="S327" s="66">
        <f t="shared" si="18"/>
        <v>692.47061800000006</v>
      </c>
    </row>
    <row r="328" spans="1:19" ht="15" x14ac:dyDescent="0.25">
      <c r="A328" s="141" t="s">
        <v>148</v>
      </c>
      <c r="B328" s="141" t="s">
        <v>311</v>
      </c>
      <c r="C328" s="141" t="s">
        <v>162</v>
      </c>
      <c r="D328" s="142" t="s">
        <v>241</v>
      </c>
      <c r="E328" s="158" t="s">
        <v>369</v>
      </c>
      <c r="F328" s="142" t="s">
        <v>142</v>
      </c>
      <c r="G328" s="141">
        <v>103062</v>
      </c>
      <c r="H328" s="141" t="s">
        <v>114</v>
      </c>
      <c r="I328" s="141" t="s">
        <v>247</v>
      </c>
      <c r="J328" s="159" t="s">
        <v>248</v>
      </c>
      <c r="K328" s="160">
        <v>0</v>
      </c>
      <c r="L328" s="141"/>
      <c r="M328" s="161">
        <v>1361.92</v>
      </c>
      <c r="N328" s="161">
        <v>0</v>
      </c>
      <c r="O328" s="161">
        <v>0</v>
      </c>
      <c r="P328" s="161">
        <v>0</v>
      </c>
      <c r="Q328" s="104">
        <f t="shared" ref="Q328:Q391" si="21">M328-P328</f>
        <v>1361.92</v>
      </c>
      <c r="R328" s="104"/>
      <c r="S328" s="66">
        <f t="shared" si="18"/>
        <v>155.395072</v>
      </c>
    </row>
    <row r="329" spans="1:19" ht="15" x14ac:dyDescent="0.25">
      <c r="A329" s="141" t="s">
        <v>148</v>
      </c>
      <c r="B329" s="141" t="s">
        <v>311</v>
      </c>
      <c r="C329" s="141" t="s">
        <v>162</v>
      </c>
      <c r="D329" s="142" t="s">
        <v>241</v>
      </c>
      <c r="E329" s="158" t="s">
        <v>369</v>
      </c>
      <c r="F329" s="142" t="s">
        <v>142</v>
      </c>
      <c r="G329" s="141">
        <v>103069</v>
      </c>
      <c r="H329" s="141" t="s">
        <v>214</v>
      </c>
      <c r="I329" s="141" t="s">
        <v>247</v>
      </c>
      <c r="J329" s="159" t="s">
        <v>248</v>
      </c>
      <c r="K329" s="160">
        <v>0</v>
      </c>
      <c r="L329" s="141"/>
      <c r="M329" s="161">
        <v>18340.13</v>
      </c>
      <c r="N329" s="161">
        <v>0</v>
      </c>
      <c r="O329" s="161">
        <v>0</v>
      </c>
      <c r="P329" s="161">
        <v>0</v>
      </c>
      <c r="Q329" s="104">
        <f t="shared" si="21"/>
        <v>18340.13</v>
      </c>
      <c r="R329" s="104"/>
      <c r="S329" s="66">
        <f t="shared" ref="S329:S392" si="22">M329*$S$7*1.141</f>
        <v>2092.6088330000002</v>
      </c>
    </row>
    <row r="330" spans="1:19" ht="15" x14ac:dyDescent="0.25">
      <c r="A330" s="141" t="s">
        <v>148</v>
      </c>
      <c r="B330" s="141" t="s">
        <v>311</v>
      </c>
      <c r="C330" s="141" t="s">
        <v>162</v>
      </c>
      <c r="D330" s="142" t="s">
        <v>241</v>
      </c>
      <c r="E330" s="158" t="s">
        <v>369</v>
      </c>
      <c r="F330" s="142" t="s">
        <v>142</v>
      </c>
      <c r="G330" s="141">
        <v>104000</v>
      </c>
      <c r="H330" s="141" t="s">
        <v>110</v>
      </c>
      <c r="I330" s="141" t="s">
        <v>247</v>
      </c>
      <c r="J330" s="159" t="s">
        <v>248</v>
      </c>
      <c r="K330" s="160">
        <v>0</v>
      </c>
      <c r="L330" s="141"/>
      <c r="M330" s="161">
        <v>78309.350000000006</v>
      </c>
      <c r="N330" s="161">
        <v>76000</v>
      </c>
      <c r="O330" s="161">
        <v>3000</v>
      </c>
      <c r="P330" s="161">
        <v>79000</v>
      </c>
      <c r="Q330" s="104">
        <f t="shared" si="21"/>
        <v>-690.64999999999418</v>
      </c>
      <c r="R330" s="104"/>
      <c r="S330" s="66">
        <f t="shared" si="22"/>
        <v>8935.0968350000021</v>
      </c>
    </row>
    <row r="331" spans="1:19" ht="15" x14ac:dyDescent="0.25">
      <c r="A331" s="141" t="s">
        <v>148</v>
      </c>
      <c r="B331" s="141" t="s">
        <v>311</v>
      </c>
      <c r="C331" s="141" t="s">
        <v>162</v>
      </c>
      <c r="D331" s="142" t="s">
        <v>241</v>
      </c>
      <c r="E331" s="158" t="s">
        <v>369</v>
      </c>
      <c r="F331" s="142" t="s">
        <v>142</v>
      </c>
      <c r="G331" s="141">
        <v>104000</v>
      </c>
      <c r="H331" s="141" t="s">
        <v>110</v>
      </c>
      <c r="I331" s="141" t="s">
        <v>247</v>
      </c>
      <c r="J331" s="159" t="s">
        <v>307</v>
      </c>
      <c r="K331" s="160">
        <v>0</v>
      </c>
      <c r="L331" s="141"/>
      <c r="M331" s="161">
        <v>335.29</v>
      </c>
      <c r="N331" s="161">
        <v>0</v>
      </c>
      <c r="O331" s="161">
        <v>0</v>
      </c>
      <c r="P331" s="161">
        <v>0</v>
      </c>
      <c r="Q331" s="104">
        <f t="shared" si="21"/>
        <v>335.29</v>
      </c>
      <c r="R331" s="104"/>
      <c r="S331" s="66">
        <f t="shared" si="22"/>
        <v>38.256589000000005</v>
      </c>
    </row>
    <row r="332" spans="1:19" ht="15" x14ac:dyDescent="0.25">
      <c r="A332" s="141" t="s">
        <v>148</v>
      </c>
      <c r="B332" s="141" t="s">
        <v>311</v>
      </c>
      <c r="C332" s="141" t="s">
        <v>162</v>
      </c>
      <c r="D332" s="142" t="s">
        <v>241</v>
      </c>
      <c r="E332" s="158" t="s">
        <v>369</v>
      </c>
      <c r="F332" s="142" t="s">
        <v>142</v>
      </c>
      <c r="G332" s="141">
        <v>104000</v>
      </c>
      <c r="H332" s="141" t="s">
        <v>110</v>
      </c>
      <c r="I332" s="141" t="s">
        <v>247</v>
      </c>
      <c r="J332" s="159" t="s">
        <v>286</v>
      </c>
      <c r="K332" s="160">
        <v>0</v>
      </c>
      <c r="L332" s="141"/>
      <c r="M332" s="161">
        <v>80.099999999999994</v>
      </c>
      <c r="N332" s="161">
        <v>0</v>
      </c>
      <c r="O332" s="161">
        <v>0</v>
      </c>
      <c r="P332" s="161">
        <v>0</v>
      </c>
      <c r="Q332" s="104">
        <f t="shared" si="21"/>
        <v>80.099999999999994</v>
      </c>
      <c r="R332" s="104"/>
      <c r="S332" s="66">
        <f t="shared" si="22"/>
        <v>9.1394099999999998</v>
      </c>
    </row>
    <row r="333" spans="1:19" ht="15" x14ac:dyDescent="0.25">
      <c r="A333" s="141" t="s">
        <v>148</v>
      </c>
      <c r="B333" s="141" t="s">
        <v>311</v>
      </c>
      <c r="C333" s="141" t="s">
        <v>162</v>
      </c>
      <c r="D333" s="142" t="s">
        <v>241</v>
      </c>
      <c r="E333" s="158" t="s">
        <v>369</v>
      </c>
      <c r="F333" s="142" t="s">
        <v>142</v>
      </c>
      <c r="G333" s="141">
        <v>105003</v>
      </c>
      <c r="H333" s="141" t="s">
        <v>268</v>
      </c>
      <c r="I333" s="141" t="s">
        <v>247</v>
      </c>
      <c r="J333" s="159" t="s">
        <v>248</v>
      </c>
      <c r="K333" s="160">
        <v>0</v>
      </c>
      <c r="L333" s="141"/>
      <c r="M333" s="163">
        <v>304035.17</v>
      </c>
      <c r="N333" s="161">
        <v>0</v>
      </c>
      <c r="O333" s="161">
        <v>0</v>
      </c>
      <c r="P333" s="161">
        <v>0</v>
      </c>
      <c r="Q333" s="104">
        <f t="shared" si="21"/>
        <v>304035.17</v>
      </c>
      <c r="R333" s="104"/>
      <c r="S333" s="66">
        <f t="shared" si="22"/>
        <v>34690.412897000002</v>
      </c>
    </row>
    <row r="334" spans="1:19" ht="15" x14ac:dyDescent="0.25">
      <c r="A334" s="141" t="s">
        <v>148</v>
      </c>
      <c r="B334" s="141" t="s">
        <v>311</v>
      </c>
      <c r="C334" s="141" t="s">
        <v>162</v>
      </c>
      <c r="D334" s="142" t="s">
        <v>241</v>
      </c>
      <c r="E334" s="158" t="s">
        <v>369</v>
      </c>
      <c r="F334" s="142" t="s">
        <v>142</v>
      </c>
      <c r="G334" s="141">
        <v>105009</v>
      </c>
      <c r="H334" s="141" t="s">
        <v>255</v>
      </c>
      <c r="I334" s="141" t="s">
        <v>247</v>
      </c>
      <c r="J334" s="159" t="s">
        <v>297</v>
      </c>
      <c r="K334" s="160">
        <v>0</v>
      </c>
      <c r="L334" s="141"/>
      <c r="M334" s="161">
        <v>84235</v>
      </c>
      <c r="N334" s="161">
        <v>0</v>
      </c>
      <c r="O334" s="161">
        <v>0</v>
      </c>
      <c r="P334" s="161">
        <v>0</v>
      </c>
      <c r="Q334" s="104">
        <f t="shared" si="21"/>
        <v>84235</v>
      </c>
      <c r="R334" s="104"/>
      <c r="S334" s="66">
        <f t="shared" si="22"/>
        <v>9611.2134999999998</v>
      </c>
    </row>
    <row r="335" spans="1:19" ht="15" x14ac:dyDescent="0.25">
      <c r="A335" s="141" t="s">
        <v>148</v>
      </c>
      <c r="B335" s="141" t="s">
        <v>311</v>
      </c>
      <c r="C335" s="141" t="s">
        <v>162</v>
      </c>
      <c r="D335" s="142" t="s">
        <v>241</v>
      </c>
      <c r="E335" s="158" t="s">
        <v>369</v>
      </c>
      <c r="F335" s="142" t="s">
        <v>142</v>
      </c>
      <c r="G335" s="141">
        <v>105010</v>
      </c>
      <c r="H335" s="141" t="s">
        <v>118</v>
      </c>
      <c r="I335" s="141" t="s">
        <v>247</v>
      </c>
      <c r="J335" s="159" t="s">
        <v>248</v>
      </c>
      <c r="K335" s="160">
        <v>0</v>
      </c>
      <c r="L335" s="141"/>
      <c r="M335" s="161">
        <v>3992.49</v>
      </c>
      <c r="N335" s="161">
        <v>0</v>
      </c>
      <c r="O335" s="161">
        <v>0</v>
      </c>
      <c r="P335" s="161">
        <v>0</v>
      </c>
      <c r="Q335" s="104">
        <f t="shared" si="21"/>
        <v>3992.49</v>
      </c>
      <c r="R335" s="104"/>
      <c r="S335" s="66">
        <f t="shared" si="22"/>
        <v>455.54310900000002</v>
      </c>
    </row>
    <row r="336" spans="1:19" ht="15" x14ac:dyDescent="0.25">
      <c r="A336" s="141" t="s">
        <v>148</v>
      </c>
      <c r="B336" s="141" t="s">
        <v>311</v>
      </c>
      <c r="C336" s="141" t="s">
        <v>162</v>
      </c>
      <c r="D336" s="142" t="s">
        <v>241</v>
      </c>
      <c r="E336" s="158" t="s">
        <v>369</v>
      </c>
      <c r="F336" s="142" t="s">
        <v>142</v>
      </c>
      <c r="G336" s="141">
        <v>105019</v>
      </c>
      <c r="H336" s="141" t="s">
        <v>111</v>
      </c>
      <c r="I336" s="141" t="s">
        <v>247</v>
      </c>
      <c r="J336" s="159" t="s">
        <v>248</v>
      </c>
      <c r="K336" s="160">
        <v>0</v>
      </c>
      <c r="L336" s="141"/>
      <c r="M336" s="161">
        <v>3237.49</v>
      </c>
      <c r="N336" s="161">
        <v>0</v>
      </c>
      <c r="O336" s="161">
        <v>0</v>
      </c>
      <c r="P336" s="161">
        <v>0</v>
      </c>
      <c r="Q336" s="104">
        <f t="shared" si="21"/>
        <v>3237.49</v>
      </c>
      <c r="R336" s="104"/>
      <c r="S336" s="66">
        <f t="shared" si="22"/>
        <v>369.39760900000005</v>
      </c>
    </row>
    <row r="337" spans="1:19" ht="15" x14ac:dyDescent="0.25">
      <c r="A337" s="141" t="s">
        <v>148</v>
      </c>
      <c r="B337" s="141" t="s">
        <v>311</v>
      </c>
      <c r="C337" s="141" t="s">
        <v>162</v>
      </c>
      <c r="D337" s="142" t="s">
        <v>241</v>
      </c>
      <c r="E337" s="158" t="s">
        <v>369</v>
      </c>
      <c r="F337" s="142" t="s">
        <v>142</v>
      </c>
      <c r="G337" s="141">
        <v>105098</v>
      </c>
      <c r="H337" s="141" t="s">
        <v>265</v>
      </c>
      <c r="I337" s="141" t="s">
        <v>247</v>
      </c>
      <c r="J337" s="159" t="s">
        <v>302</v>
      </c>
      <c r="K337" s="160">
        <v>0</v>
      </c>
      <c r="L337" s="141"/>
      <c r="M337" s="161">
        <v>-4392</v>
      </c>
      <c r="N337" s="161">
        <v>0</v>
      </c>
      <c r="O337" s="161">
        <v>0</v>
      </c>
      <c r="P337" s="161">
        <v>0</v>
      </c>
      <c r="Q337" s="104">
        <f t="shared" si="21"/>
        <v>-4392</v>
      </c>
      <c r="R337" s="104"/>
      <c r="S337" s="66">
        <f t="shared" si="22"/>
        <v>-501.12720000000007</v>
      </c>
    </row>
    <row r="338" spans="1:19" ht="15" x14ac:dyDescent="0.25">
      <c r="A338" s="141" t="s">
        <v>148</v>
      </c>
      <c r="B338" s="141" t="s">
        <v>311</v>
      </c>
      <c r="C338" s="141" t="s">
        <v>162</v>
      </c>
      <c r="D338" s="142" t="s">
        <v>241</v>
      </c>
      <c r="E338" s="158" t="s">
        <v>369</v>
      </c>
      <c r="F338" s="142" t="s">
        <v>142</v>
      </c>
      <c r="G338" s="141">
        <v>105099</v>
      </c>
      <c r="H338" s="141" t="s">
        <v>103</v>
      </c>
      <c r="I338" s="141" t="s">
        <v>247</v>
      </c>
      <c r="J338" s="159" t="s">
        <v>303</v>
      </c>
      <c r="K338" s="160">
        <v>0</v>
      </c>
      <c r="L338" s="141"/>
      <c r="M338" s="161">
        <v>4392</v>
      </c>
      <c r="N338" s="161">
        <v>0</v>
      </c>
      <c r="O338" s="161">
        <v>0</v>
      </c>
      <c r="P338" s="161">
        <v>0</v>
      </c>
      <c r="Q338" s="104">
        <f t="shared" si="21"/>
        <v>4392</v>
      </c>
      <c r="R338" s="129"/>
      <c r="S338" s="66">
        <f t="shared" si="22"/>
        <v>501.12720000000007</v>
      </c>
    </row>
    <row r="339" spans="1:19" ht="15" x14ac:dyDescent="0.25">
      <c r="A339" s="141" t="s">
        <v>148</v>
      </c>
      <c r="B339" s="141" t="s">
        <v>311</v>
      </c>
      <c r="C339" s="141" t="s">
        <v>162</v>
      </c>
      <c r="D339" s="142" t="s">
        <v>241</v>
      </c>
      <c r="E339" s="158" t="s">
        <v>369</v>
      </c>
      <c r="F339" s="142" t="s">
        <v>142</v>
      </c>
      <c r="G339" s="144">
        <v>109001</v>
      </c>
      <c r="H339" s="141" t="s">
        <v>101</v>
      </c>
      <c r="I339" s="141" t="s">
        <v>247</v>
      </c>
      <c r="J339" s="159" t="s">
        <v>248</v>
      </c>
      <c r="K339" s="160">
        <v>0</v>
      </c>
      <c r="L339" s="141"/>
      <c r="M339" s="161">
        <v>896672.78</v>
      </c>
      <c r="N339" s="161">
        <v>819000</v>
      </c>
      <c r="O339" s="161">
        <v>55000</v>
      </c>
      <c r="P339" s="161">
        <v>874000</v>
      </c>
      <c r="Q339" s="104">
        <f t="shared" si="21"/>
        <v>22672.780000000028</v>
      </c>
      <c r="R339" s="129">
        <f t="shared" ref="R339:R343" si="23">M339*-1.141</f>
        <v>-1023103.6419800001</v>
      </c>
    </row>
    <row r="340" spans="1:19" ht="15" x14ac:dyDescent="0.25">
      <c r="A340" s="141" t="s">
        <v>148</v>
      </c>
      <c r="B340" s="141" t="s">
        <v>311</v>
      </c>
      <c r="C340" s="141" t="s">
        <v>162</v>
      </c>
      <c r="D340" s="142" t="s">
        <v>241</v>
      </c>
      <c r="E340" s="158" t="s">
        <v>369</v>
      </c>
      <c r="F340" s="142" t="s">
        <v>142</v>
      </c>
      <c r="G340" s="144">
        <v>109001</v>
      </c>
      <c r="H340" s="141" t="s">
        <v>101</v>
      </c>
      <c r="I340" s="141" t="s">
        <v>247</v>
      </c>
      <c r="J340" s="159" t="s">
        <v>307</v>
      </c>
      <c r="K340" s="160">
        <v>0</v>
      </c>
      <c r="L340" s="141"/>
      <c r="M340" s="161">
        <v>1700.39</v>
      </c>
      <c r="N340" s="161">
        <v>0</v>
      </c>
      <c r="O340" s="161">
        <v>0</v>
      </c>
      <c r="P340" s="161">
        <v>0</v>
      </c>
      <c r="Q340" s="104">
        <f t="shared" si="21"/>
        <v>1700.39</v>
      </c>
      <c r="R340" s="129">
        <f t="shared" si="23"/>
        <v>-1940.1449900000002</v>
      </c>
    </row>
    <row r="341" spans="1:19" ht="15" x14ac:dyDescent="0.25">
      <c r="A341" s="141" t="s">
        <v>148</v>
      </c>
      <c r="B341" s="141" t="s">
        <v>311</v>
      </c>
      <c r="C341" s="141" t="s">
        <v>162</v>
      </c>
      <c r="D341" s="142" t="s">
        <v>241</v>
      </c>
      <c r="E341" s="158" t="s">
        <v>369</v>
      </c>
      <c r="F341" s="142" t="s">
        <v>142</v>
      </c>
      <c r="G341" s="144">
        <v>109001</v>
      </c>
      <c r="H341" s="141" t="s">
        <v>101</v>
      </c>
      <c r="I341" s="141" t="s">
        <v>247</v>
      </c>
      <c r="J341" s="159" t="s">
        <v>286</v>
      </c>
      <c r="K341" s="160">
        <v>0</v>
      </c>
      <c r="L341" s="141"/>
      <c r="M341" s="161">
        <v>2575.1</v>
      </c>
      <c r="N341" s="161">
        <v>0</v>
      </c>
      <c r="O341" s="161">
        <v>0</v>
      </c>
      <c r="P341" s="161">
        <v>0</v>
      </c>
      <c r="Q341" s="104">
        <f t="shared" si="21"/>
        <v>2575.1</v>
      </c>
      <c r="R341" s="129">
        <f t="shared" si="23"/>
        <v>-2938.1891000000001</v>
      </c>
    </row>
    <row r="342" spans="1:19" ht="15" x14ac:dyDescent="0.25">
      <c r="A342" s="141" t="s">
        <v>148</v>
      </c>
      <c r="B342" s="141" t="s">
        <v>311</v>
      </c>
      <c r="C342" s="141" t="s">
        <v>162</v>
      </c>
      <c r="D342" s="142" t="s">
        <v>241</v>
      </c>
      <c r="E342" s="158" t="s">
        <v>369</v>
      </c>
      <c r="F342" s="142" t="s">
        <v>142</v>
      </c>
      <c r="G342" s="144">
        <v>109001</v>
      </c>
      <c r="H342" s="141" t="s">
        <v>101</v>
      </c>
      <c r="I342" s="141" t="s">
        <v>247</v>
      </c>
      <c r="J342" s="159" t="s">
        <v>364</v>
      </c>
      <c r="K342" s="160">
        <v>0</v>
      </c>
      <c r="L342" s="141"/>
      <c r="M342" s="161">
        <v>1128</v>
      </c>
      <c r="N342" s="161">
        <v>0</v>
      </c>
      <c r="O342" s="161">
        <v>0</v>
      </c>
      <c r="P342" s="161">
        <v>0</v>
      </c>
      <c r="Q342" s="104">
        <f t="shared" si="21"/>
        <v>1128</v>
      </c>
      <c r="R342" s="129">
        <f t="shared" si="23"/>
        <v>-1287.048</v>
      </c>
    </row>
    <row r="343" spans="1:19" ht="15" x14ac:dyDescent="0.25">
      <c r="A343" s="141" t="s">
        <v>148</v>
      </c>
      <c r="B343" s="141" t="s">
        <v>311</v>
      </c>
      <c r="C343" s="141" t="s">
        <v>162</v>
      </c>
      <c r="D343" s="142" t="s">
        <v>241</v>
      </c>
      <c r="E343" s="158" t="s">
        <v>369</v>
      </c>
      <c r="F343" s="142" t="s">
        <v>142</v>
      </c>
      <c r="G343" s="144">
        <v>109001</v>
      </c>
      <c r="H343" s="141" t="s">
        <v>101</v>
      </c>
      <c r="I343" s="141" t="s">
        <v>247</v>
      </c>
      <c r="J343" s="159" t="s">
        <v>365</v>
      </c>
      <c r="K343" s="160">
        <v>0</v>
      </c>
      <c r="L343" s="141"/>
      <c r="M343" s="161">
        <v>207.9</v>
      </c>
      <c r="N343" s="161">
        <v>0</v>
      </c>
      <c r="O343" s="161">
        <v>0</v>
      </c>
      <c r="P343" s="161">
        <v>0</v>
      </c>
      <c r="Q343" s="104">
        <f t="shared" si="21"/>
        <v>207.9</v>
      </c>
      <c r="R343" s="129">
        <f t="shared" si="23"/>
        <v>-237.2139</v>
      </c>
    </row>
    <row r="344" spans="1:19" ht="15" x14ac:dyDescent="0.25">
      <c r="A344" s="141" t="s">
        <v>148</v>
      </c>
      <c r="B344" s="141" t="s">
        <v>311</v>
      </c>
      <c r="C344" s="141" t="s">
        <v>162</v>
      </c>
      <c r="D344" s="142" t="s">
        <v>241</v>
      </c>
      <c r="E344" s="158" t="s">
        <v>369</v>
      </c>
      <c r="F344" s="142" t="s">
        <v>142</v>
      </c>
      <c r="G344" s="144">
        <v>109901</v>
      </c>
      <c r="H344" s="141" t="s">
        <v>102</v>
      </c>
      <c r="I344" s="141" t="s">
        <v>247</v>
      </c>
      <c r="J344" s="159" t="s">
        <v>248</v>
      </c>
      <c r="K344" s="160">
        <v>0</v>
      </c>
      <c r="L344" s="141"/>
      <c r="M344" s="161">
        <v>1482423.01</v>
      </c>
      <c r="N344" s="161">
        <v>1345000</v>
      </c>
      <c r="O344" s="161">
        <v>87000</v>
      </c>
      <c r="P344" s="161">
        <v>1432000</v>
      </c>
      <c r="Q344" s="104">
        <f t="shared" si="21"/>
        <v>50423.010000000009</v>
      </c>
      <c r="R344" s="104"/>
    </row>
    <row r="345" spans="1:19" ht="15" x14ac:dyDescent="0.25">
      <c r="A345" s="141" t="s">
        <v>148</v>
      </c>
      <c r="B345" s="141" t="s">
        <v>311</v>
      </c>
      <c r="C345" s="141" t="s">
        <v>162</v>
      </c>
      <c r="D345" s="142" t="s">
        <v>241</v>
      </c>
      <c r="E345" s="158" t="s">
        <v>369</v>
      </c>
      <c r="F345" s="142" t="s">
        <v>142</v>
      </c>
      <c r="G345" s="144">
        <v>109901</v>
      </c>
      <c r="H345" s="141" t="s">
        <v>102</v>
      </c>
      <c r="I345" s="141" t="s">
        <v>247</v>
      </c>
      <c r="J345" s="159" t="s">
        <v>303</v>
      </c>
      <c r="K345" s="160">
        <v>0</v>
      </c>
      <c r="L345" s="141"/>
      <c r="M345" s="161">
        <v>632.80999999999995</v>
      </c>
      <c r="N345" s="161">
        <v>0</v>
      </c>
      <c r="O345" s="161">
        <v>0</v>
      </c>
      <c r="P345" s="161">
        <v>0</v>
      </c>
      <c r="Q345" s="104">
        <f t="shared" si="21"/>
        <v>632.80999999999995</v>
      </c>
      <c r="R345" s="104"/>
    </row>
    <row r="346" spans="1:19" ht="15" x14ac:dyDescent="0.25">
      <c r="A346" s="141" t="s">
        <v>148</v>
      </c>
      <c r="B346" s="141" t="s">
        <v>311</v>
      </c>
      <c r="C346" s="141" t="s">
        <v>162</v>
      </c>
      <c r="D346" s="142" t="s">
        <v>241</v>
      </c>
      <c r="E346" s="158" t="s">
        <v>369</v>
      </c>
      <c r="F346" s="142" t="s">
        <v>142</v>
      </c>
      <c r="G346" s="144">
        <v>109901</v>
      </c>
      <c r="H346" s="141" t="s">
        <v>102</v>
      </c>
      <c r="I346" s="141" t="s">
        <v>247</v>
      </c>
      <c r="J346" s="159" t="s">
        <v>307</v>
      </c>
      <c r="K346" s="160">
        <v>0</v>
      </c>
      <c r="L346" s="141"/>
      <c r="M346" s="161">
        <v>2815.77</v>
      </c>
      <c r="N346" s="161">
        <v>0</v>
      </c>
      <c r="O346" s="161">
        <v>0</v>
      </c>
      <c r="P346" s="161">
        <v>0</v>
      </c>
      <c r="Q346" s="104">
        <f t="shared" si="21"/>
        <v>2815.77</v>
      </c>
      <c r="R346" s="104"/>
    </row>
    <row r="347" spans="1:19" ht="15" x14ac:dyDescent="0.25">
      <c r="A347" s="141" t="s">
        <v>148</v>
      </c>
      <c r="B347" s="141" t="s">
        <v>311</v>
      </c>
      <c r="C347" s="141" t="s">
        <v>162</v>
      </c>
      <c r="D347" s="142" t="s">
        <v>241</v>
      </c>
      <c r="E347" s="158" t="s">
        <v>369</v>
      </c>
      <c r="F347" s="142" t="s">
        <v>142</v>
      </c>
      <c r="G347" s="144">
        <v>109901</v>
      </c>
      <c r="H347" s="141" t="s">
        <v>102</v>
      </c>
      <c r="I347" s="141" t="s">
        <v>247</v>
      </c>
      <c r="J347" s="159" t="s">
        <v>297</v>
      </c>
      <c r="K347" s="160">
        <v>0</v>
      </c>
      <c r="L347" s="141"/>
      <c r="M347" s="161">
        <v>11877.13</v>
      </c>
      <c r="N347" s="161">
        <v>0</v>
      </c>
      <c r="O347" s="161">
        <v>0</v>
      </c>
      <c r="P347" s="161">
        <v>0</v>
      </c>
      <c r="Q347" s="104">
        <f t="shared" si="21"/>
        <v>11877.13</v>
      </c>
      <c r="R347" s="104"/>
    </row>
    <row r="348" spans="1:19" ht="15" x14ac:dyDescent="0.25">
      <c r="A348" s="141" t="s">
        <v>148</v>
      </c>
      <c r="B348" s="141" t="s">
        <v>311</v>
      </c>
      <c r="C348" s="141" t="s">
        <v>162</v>
      </c>
      <c r="D348" s="142" t="s">
        <v>241</v>
      </c>
      <c r="E348" s="158" t="s">
        <v>369</v>
      </c>
      <c r="F348" s="142" t="s">
        <v>142</v>
      </c>
      <c r="G348" s="144">
        <v>109901</v>
      </c>
      <c r="H348" s="141" t="s">
        <v>102</v>
      </c>
      <c r="I348" s="141" t="s">
        <v>247</v>
      </c>
      <c r="J348" s="159" t="s">
        <v>286</v>
      </c>
      <c r="K348" s="160">
        <v>0</v>
      </c>
      <c r="L348" s="141"/>
      <c r="M348" s="161">
        <v>4193.63</v>
      </c>
      <c r="N348" s="161">
        <v>0</v>
      </c>
      <c r="O348" s="161">
        <v>0</v>
      </c>
      <c r="P348" s="161">
        <v>0</v>
      </c>
      <c r="Q348" s="104">
        <f t="shared" si="21"/>
        <v>4193.63</v>
      </c>
      <c r="R348" s="104"/>
    </row>
    <row r="349" spans="1:19" ht="15" x14ac:dyDescent="0.25">
      <c r="A349" s="141" t="s">
        <v>148</v>
      </c>
      <c r="B349" s="141" t="s">
        <v>311</v>
      </c>
      <c r="C349" s="141" t="s">
        <v>162</v>
      </c>
      <c r="D349" s="142" t="s">
        <v>241</v>
      </c>
      <c r="E349" s="158" t="s">
        <v>369</v>
      </c>
      <c r="F349" s="142" t="s">
        <v>142</v>
      </c>
      <c r="G349" s="144">
        <v>109901</v>
      </c>
      <c r="H349" s="141" t="s">
        <v>102</v>
      </c>
      <c r="I349" s="141" t="s">
        <v>247</v>
      </c>
      <c r="J349" s="159" t="s">
        <v>364</v>
      </c>
      <c r="K349" s="160">
        <v>0</v>
      </c>
      <c r="L349" s="141"/>
      <c r="M349" s="161">
        <v>2054.1</v>
      </c>
      <c r="N349" s="161">
        <v>0</v>
      </c>
      <c r="O349" s="161">
        <v>0</v>
      </c>
      <c r="P349" s="161">
        <v>0</v>
      </c>
      <c r="Q349" s="104">
        <f t="shared" si="21"/>
        <v>2054.1</v>
      </c>
      <c r="R349" s="104"/>
    </row>
    <row r="350" spans="1:19" ht="15" x14ac:dyDescent="0.25">
      <c r="A350" s="141" t="s">
        <v>148</v>
      </c>
      <c r="B350" s="141" t="s">
        <v>311</v>
      </c>
      <c r="C350" s="141" t="s">
        <v>162</v>
      </c>
      <c r="D350" s="142" t="s">
        <v>241</v>
      </c>
      <c r="E350" s="158" t="s">
        <v>369</v>
      </c>
      <c r="F350" s="142" t="s">
        <v>142</v>
      </c>
      <c r="G350" s="144">
        <v>109901</v>
      </c>
      <c r="H350" s="141" t="s">
        <v>102</v>
      </c>
      <c r="I350" s="141" t="s">
        <v>247</v>
      </c>
      <c r="J350" s="159" t="s">
        <v>365</v>
      </c>
      <c r="K350" s="160">
        <v>0</v>
      </c>
      <c r="L350" s="141"/>
      <c r="M350" s="161">
        <v>338.09</v>
      </c>
      <c r="N350" s="161">
        <v>0</v>
      </c>
      <c r="O350" s="161">
        <v>0</v>
      </c>
      <c r="P350" s="161">
        <v>0</v>
      </c>
      <c r="Q350" s="104">
        <f t="shared" si="21"/>
        <v>338.09</v>
      </c>
      <c r="R350" s="104"/>
    </row>
    <row r="351" spans="1:19" ht="15" x14ac:dyDescent="0.25">
      <c r="A351" s="141" t="s">
        <v>148</v>
      </c>
      <c r="B351" s="141" t="s">
        <v>312</v>
      </c>
      <c r="C351" s="141" t="s">
        <v>66</v>
      </c>
      <c r="D351" s="142" t="s">
        <v>241</v>
      </c>
      <c r="E351" s="158" t="s">
        <v>369</v>
      </c>
      <c r="F351" s="142" t="s">
        <v>142</v>
      </c>
      <c r="G351" s="141">
        <v>101001</v>
      </c>
      <c r="H351" s="141" t="s">
        <v>104</v>
      </c>
      <c r="I351" s="141" t="s">
        <v>247</v>
      </c>
      <c r="J351" s="159" t="s">
        <v>248</v>
      </c>
      <c r="K351" s="160">
        <v>0</v>
      </c>
      <c r="L351" s="141"/>
      <c r="M351" s="161">
        <v>7855401.46</v>
      </c>
      <c r="N351" s="161">
        <v>8417000</v>
      </c>
      <c r="O351" s="161">
        <v>-148000</v>
      </c>
      <c r="P351" s="161">
        <v>8269000</v>
      </c>
      <c r="Q351" s="104">
        <f t="shared" si="21"/>
        <v>-413598.54000000004</v>
      </c>
      <c r="R351" s="104"/>
      <c r="S351" s="66">
        <f t="shared" si="22"/>
        <v>896301.30658600014</v>
      </c>
    </row>
    <row r="352" spans="1:19" ht="15" x14ac:dyDescent="0.25">
      <c r="A352" s="141" t="s">
        <v>148</v>
      </c>
      <c r="B352" s="141" t="s">
        <v>312</v>
      </c>
      <c r="C352" s="141" t="s">
        <v>66</v>
      </c>
      <c r="D352" s="142" t="s">
        <v>241</v>
      </c>
      <c r="E352" s="158" t="s">
        <v>369</v>
      </c>
      <c r="F352" s="142" t="s">
        <v>142</v>
      </c>
      <c r="G352" s="141">
        <v>101002</v>
      </c>
      <c r="H352" s="141" t="s">
        <v>105</v>
      </c>
      <c r="I352" s="141" t="s">
        <v>247</v>
      </c>
      <c r="J352" s="159" t="s">
        <v>248</v>
      </c>
      <c r="K352" s="160">
        <v>0</v>
      </c>
      <c r="L352" s="141"/>
      <c r="M352" s="161">
        <v>508838.7</v>
      </c>
      <c r="N352" s="161">
        <v>10000</v>
      </c>
      <c r="O352" s="161">
        <v>0</v>
      </c>
      <c r="P352" s="161">
        <v>10000</v>
      </c>
      <c r="Q352" s="104">
        <f t="shared" si="21"/>
        <v>498838.7</v>
      </c>
      <c r="R352" s="104"/>
      <c r="S352" s="66">
        <f t="shared" si="22"/>
        <v>58058.495670000004</v>
      </c>
    </row>
    <row r="353" spans="1:19" ht="15" x14ac:dyDescent="0.25">
      <c r="A353" s="141" t="s">
        <v>148</v>
      </c>
      <c r="B353" s="141" t="s">
        <v>312</v>
      </c>
      <c r="C353" s="141" t="s">
        <v>66</v>
      </c>
      <c r="D353" s="142" t="s">
        <v>241</v>
      </c>
      <c r="E353" s="158" t="s">
        <v>369</v>
      </c>
      <c r="F353" s="142" t="s">
        <v>142</v>
      </c>
      <c r="G353" s="141">
        <v>101002</v>
      </c>
      <c r="H353" s="141" t="s">
        <v>105</v>
      </c>
      <c r="I353" s="141" t="s">
        <v>247</v>
      </c>
      <c r="J353" s="159" t="s">
        <v>286</v>
      </c>
      <c r="K353" s="160">
        <v>0</v>
      </c>
      <c r="L353" s="141"/>
      <c r="M353" s="161">
        <v>5091.03</v>
      </c>
      <c r="N353" s="161">
        <v>0</v>
      </c>
      <c r="O353" s="161">
        <v>0</v>
      </c>
      <c r="P353" s="161">
        <v>0</v>
      </c>
      <c r="Q353" s="104">
        <f t="shared" si="21"/>
        <v>5091.03</v>
      </c>
      <c r="R353" s="104"/>
      <c r="S353" s="66">
        <f t="shared" si="22"/>
        <v>580.88652300000001</v>
      </c>
    </row>
    <row r="354" spans="1:19" ht="15" x14ac:dyDescent="0.25">
      <c r="A354" s="141" t="s">
        <v>148</v>
      </c>
      <c r="B354" s="141" t="s">
        <v>312</v>
      </c>
      <c r="C354" s="141" t="s">
        <v>66</v>
      </c>
      <c r="D354" s="142" t="s">
        <v>241</v>
      </c>
      <c r="E354" s="158" t="s">
        <v>369</v>
      </c>
      <c r="F354" s="142" t="s">
        <v>142</v>
      </c>
      <c r="G354" s="141">
        <v>101039</v>
      </c>
      <c r="H354" s="141" t="s">
        <v>107</v>
      </c>
      <c r="I354" s="141" t="s">
        <v>247</v>
      </c>
      <c r="J354" s="159" t="s">
        <v>248</v>
      </c>
      <c r="K354" s="160">
        <v>0</v>
      </c>
      <c r="L354" s="141"/>
      <c r="M354" s="161">
        <v>221045.96</v>
      </c>
      <c r="N354" s="161">
        <v>0</v>
      </c>
      <c r="O354" s="161">
        <v>0</v>
      </c>
      <c r="P354" s="161">
        <v>0</v>
      </c>
      <c r="Q354" s="104">
        <f t="shared" si="21"/>
        <v>221045.96</v>
      </c>
      <c r="R354" s="104"/>
      <c r="S354" s="66">
        <f t="shared" si="22"/>
        <v>25221.344036000002</v>
      </c>
    </row>
    <row r="355" spans="1:19" ht="15" x14ac:dyDescent="0.25">
      <c r="A355" s="141" t="s">
        <v>148</v>
      </c>
      <c r="B355" s="141" t="s">
        <v>312</v>
      </c>
      <c r="C355" s="141" t="s">
        <v>66</v>
      </c>
      <c r="D355" s="142" t="s">
        <v>241</v>
      </c>
      <c r="E355" s="158" t="s">
        <v>369</v>
      </c>
      <c r="F355" s="142" t="s">
        <v>142</v>
      </c>
      <c r="G355" s="141">
        <v>102002</v>
      </c>
      <c r="H355" s="141" t="s">
        <v>108</v>
      </c>
      <c r="I355" s="141" t="s">
        <v>247</v>
      </c>
      <c r="J355" s="159" t="s">
        <v>248</v>
      </c>
      <c r="K355" s="160">
        <v>0</v>
      </c>
      <c r="L355" s="141"/>
      <c r="M355" s="161">
        <v>23749.19</v>
      </c>
      <c r="N355" s="161">
        <v>0</v>
      </c>
      <c r="O355" s="161">
        <v>0</v>
      </c>
      <c r="P355" s="161">
        <v>0</v>
      </c>
      <c r="Q355" s="104">
        <f t="shared" si="21"/>
        <v>23749.19</v>
      </c>
      <c r="R355" s="104"/>
      <c r="S355" s="66">
        <f t="shared" si="22"/>
        <v>2709.7825789999997</v>
      </c>
    </row>
    <row r="356" spans="1:19" ht="15" x14ac:dyDescent="0.25">
      <c r="A356" s="141" t="s">
        <v>148</v>
      </c>
      <c r="B356" s="141" t="s">
        <v>312</v>
      </c>
      <c r="C356" s="141" t="s">
        <v>66</v>
      </c>
      <c r="D356" s="142" t="s">
        <v>241</v>
      </c>
      <c r="E356" s="158" t="s">
        <v>369</v>
      </c>
      <c r="F356" s="142" t="s">
        <v>142</v>
      </c>
      <c r="G356" s="141">
        <v>102002</v>
      </c>
      <c r="H356" s="141" t="s">
        <v>108</v>
      </c>
      <c r="I356" s="141" t="s">
        <v>247</v>
      </c>
      <c r="J356" s="159" t="s">
        <v>286</v>
      </c>
      <c r="K356" s="160">
        <v>0</v>
      </c>
      <c r="L356" s="141"/>
      <c r="M356" s="161">
        <v>12649.23</v>
      </c>
      <c r="N356" s="161">
        <v>0</v>
      </c>
      <c r="O356" s="161">
        <v>0</v>
      </c>
      <c r="P356" s="161">
        <v>0</v>
      </c>
      <c r="Q356" s="104">
        <f t="shared" si="21"/>
        <v>12649.23</v>
      </c>
      <c r="R356" s="104"/>
      <c r="S356" s="66">
        <f t="shared" si="22"/>
        <v>1443.277143</v>
      </c>
    </row>
    <row r="357" spans="1:19" ht="15" x14ac:dyDescent="0.25">
      <c r="A357" s="141" t="s">
        <v>148</v>
      </c>
      <c r="B357" s="141" t="s">
        <v>312</v>
      </c>
      <c r="C357" s="141" t="s">
        <v>66</v>
      </c>
      <c r="D357" s="142" t="s">
        <v>241</v>
      </c>
      <c r="E357" s="158" t="s">
        <v>369</v>
      </c>
      <c r="F357" s="142" t="s">
        <v>142</v>
      </c>
      <c r="G357" s="141">
        <v>102003</v>
      </c>
      <c r="H357" s="141" t="s">
        <v>106</v>
      </c>
      <c r="I357" s="141" t="s">
        <v>247</v>
      </c>
      <c r="J357" s="159" t="s">
        <v>248</v>
      </c>
      <c r="K357" s="160">
        <v>0</v>
      </c>
      <c r="L357" s="141"/>
      <c r="M357" s="161">
        <v>487862.55</v>
      </c>
      <c r="N357" s="161">
        <v>188000</v>
      </c>
      <c r="O357" s="161">
        <v>66000</v>
      </c>
      <c r="P357" s="161">
        <v>254000</v>
      </c>
      <c r="Q357" s="104">
        <f t="shared" si="21"/>
        <v>233862.55</v>
      </c>
      <c r="R357" s="104"/>
      <c r="S357" s="66">
        <f t="shared" si="22"/>
        <v>55665.116955000005</v>
      </c>
    </row>
    <row r="358" spans="1:19" ht="15" x14ac:dyDescent="0.25">
      <c r="A358" s="141" t="s">
        <v>148</v>
      </c>
      <c r="B358" s="141" t="s">
        <v>312</v>
      </c>
      <c r="C358" s="141" t="s">
        <v>66</v>
      </c>
      <c r="D358" s="142" t="s">
        <v>241</v>
      </c>
      <c r="E358" s="158" t="s">
        <v>369</v>
      </c>
      <c r="F358" s="142" t="s">
        <v>142</v>
      </c>
      <c r="G358" s="141">
        <v>102003</v>
      </c>
      <c r="H358" s="141" t="s">
        <v>106</v>
      </c>
      <c r="I358" s="141" t="s">
        <v>247</v>
      </c>
      <c r="J358" s="159" t="s">
        <v>286</v>
      </c>
      <c r="K358" s="160">
        <v>0</v>
      </c>
      <c r="L358" s="141"/>
      <c r="M358" s="161">
        <v>27729.83</v>
      </c>
      <c r="N358" s="161">
        <v>0</v>
      </c>
      <c r="O358" s="161">
        <v>0</v>
      </c>
      <c r="P358" s="161">
        <v>0</v>
      </c>
      <c r="Q358" s="104">
        <f t="shared" si="21"/>
        <v>27729.83</v>
      </c>
      <c r="R358" s="104"/>
      <c r="S358" s="66">
        <f t="shared" si="22"/>
        <v>3163.9736030000004</v>
      </c>
    </row>
    <row r="359" spans="1:19" ht="15" x14ac:dyDescent="0.25">
      <c r="A359" s="141" t="s">
        <v>148</v>
      </c>
      <c r="B359" s="141" t="s">
        <v>312</v>
      </c>
      <c r="C359" s="141" t="s">
        <v>66</v>
      </c>
      <c r="D359" s="142" t="s">
        <v>241</v>
      </c>
      <c r="E359" s="158" t="s">
        <v>369</v>
      </c>
      <c r="F359" s="142" t="s">
        <v>142</v>
      </c>
      <c r="G359" s="141">
        <v>102005</v>
      </c>
      <c r="H359" s="141" t="s">
        <v>112</v>
      </c>
      <c r="I359" s="141" t="s">
        <v>247</v>
      </c>
      <c r="J359" s="159" t="s">
        <v>248</v>
      </c>
      <c r="K359" s="160">
        <v>0</v>
      </c>
      <c r="L359" s="141"/>
      <c r="M359" s="161">
        <v>89084.31</v>
      </c>
      <c r="N359" s="161">
        <v>0</v>
      </c>
      <c r="O359" s="161">
        <v>0</v>
      </c>
      <c r="P359" s="161">
        <v>0</v>
      </c>
      <c r="Q359" s="104">
        <f t="shared" si="21"/>
        <v>89084.31</v>
      </c>
      <c r="R359" s="104"/>
      <c r="S359" s="66">
        <f t="shared" si="22"/>
        <v>10164.519771000001</v>
      </c>
    </row>
    <row r="360" spans="1:19" ht="15" x14ac:dyDescent="0.25">
      <c r="A360" s="141" t="s">
        <v>148</v>
      </c>
      <c r="B360" s="141" t="s">
        <v>312</v>
      </c>
      <c r="C360" s="141" t="s">
        <v>66</v>
      </c>
      <c r="D360" s="142" t="s">
        <v>241</v>
      </c>
      <c r="E360" s="158" t="s">
        <v>369</v>
      </c>
      <c r="F360" s="142" t="s">
        <v>142</v>
      </c>
      <c r="G360" s="141">
        <v>102005</v>
      </c>
      <c r="H360" s="141" t="s">
        <v>112</v>
      </c>
      <c r="I360" s="141" t="s">
        <v>247</v>
      </c>
      <c r="J360" s="159" t="s">
        <v>286</v>
      </c>
      <c r="K360" s="160">
        <v>0</v>
      </c>
      <c r="L360" s="141"/>
      <c r="M360" s="161">
        <v>5481.02</v>
      </c>
      <c r="N360" s="161">
        <v>0</v>
      </c>
      <c r="O360" s="161">
        <v>0</v>
      </c>
      <c r="P360" s="161">
        <v>0</v>
      </c>
      <c r="Q360" s="104">
        <f t="shared" si="21"/>
        <v>5481.02</v>
      </c>
      <c r="R360" s="104"/>
      <c r="S360" s="66">
        <f t="shared" si="22"/>
        <v>625.38438200000007</v>
      </c>
    </row>
    <row r="361" spans="1:19" ht="15" x14ac:dyDescent="0.25">
      <c r="A361" s="141" t="s">
        <v>148</v>
      </c>
      <c r="B361" s="141" t="s">
        <v>312</v>
      </c>
      <c r="C361" s="141" t="s">
        <v>66</v>
      </c>
      <c r="D361" s="142" t="s">
        <v>241</v>
      </c>
      <c r="E361" s="158" t="s">
        <v>369</v>
      </c>
      <c r="F361" s="142" t="s">
        <v>142</v>
      </c>
      <c r="G361" s="141">
        <v>102062</v>
      </c>
      <c r="H361" s="141" t="s">
        <v>113</v>
      </c>
      <c r="I361" s="141" t="s">
        <v>247</v>
      </c>
      <c r="J361" s="159" t="s">
        <v>248</v>
      </c>
      <c r="K361" s="160">
        <v>0</v>
      </c>
      <c r="L361" s="141"/>
      <c r="M361" s="161">
        <v>8917.77</v>
      </c>
      <c r="N361" s="161">
        <v>0</v>
      </c>
      <c r="O361" s="161">
        <v>0</v>
      </c>
      <c r="P361" s="161">
        <v>0</v>
      </c>
      <c r="Q361" s="104">
        <f t="shared" si="21"/>
        <v>8917.77</v>
      </c>
      <c r="R361" s="104"/>
      <c r="S361" s="66">
        <f t="shared" si="22"/>
        <v>1017.517557</v>
      </c>
    </row>
    <row r="362" spans="1:19" ht="15" x14ac:dyDescent="0.25">
      <c r="A362" s="141" t="s">
        <v>148</v>
      </c>
      <c r="B362" s="141" t="s">
        <v>312</v>
      </c>
      <c r="C362" s="141" t="s">
        <v>66</v>
      </c>
      <c r="D362" s="142" t="s">
        <v>241</v>
      </c>
      <c r="E362" s="158" t="s">
        <v>369</v>
      </c>
      <c r="F362" s="142" t="s">
        <v>142</v>
      </c>
      <c r="G362" s="141">
        <v>103001</v>
      </c>
      <c r="H362" s="141" t="s">
        <v>109</v>
      </c>
      <c r="I362" s="141" t="s">
        <v>247</v>
      </c>
      <c r="J362" s="159" t="s">
        <v>248</v>
      </c>
      <c r="K362" s="160">
        <v>0</v>
      </c>
      <c r="L362" s="141"/>
      <c r="M362" s="161">
        <v>125406.14</v>
      </c>
      <c r="N362" s="161">
        <v>0</v>
      </c>
      <c r="O362" s="161">
        <v>15000</v>
      </c>
      <c r="P362" s="161">
        <v>15000</v>
      </c>
      <c r="Q362" s="104">
        <f t="shared" si="21"/>
        <v>110406.14</v>
      </c>
      <c r="R362" s="104"/>
      <c r="S362" s="66">
        <f t="shared" si="22"/>
        <v>14308.840574000002</v>
      </c>
    </row>
    <row r="363" spans="1:19" ht="15" x14ac:dyDescent="0.25">
      <c r="A363" s="141" t="s">
        <v>148</v>
      </c>
      <c r="B363" s="141" t="s">
        <v>312</v>
      </c>
      <c r="C363" s="141" t="s">
        <v>66</v>
      </c>
      <c r="D363" s="142" t="s">
        <v>241</v>
      </c>
      <c r="E363" s="158" t="s">
        <v>369</v>
      </c>
      <c r="F363" s="142" t="s">
        <v>142</v>
      </c>
      <c r="G363" s="141">
        <v>103069</v>
      </c>
      <c r="H363" s="141" t="s">
        <v>214</v>
      </c>
      <c r="I363" s="141" t="s">
        <v>247</v>
      </c>
      <c r="J363" s="159" t="s">
        <v>248</v>
      </c>
      <c r="K363" s="160">
        <v>0</v>
      </c>
      <c r="L363" s="141"/>
      <c r="M363" s="161">
        <v>24774.71</v>
      </c>
      <c r="N363" s="161">
        <v>0</v>
      </c>
      <c r="O363" s="161">
        <v>0</v>
      </c>
      <c r="P363" s="161">
        <v>0</v>
      </c>
      <c r="Q363" s="104">
        <f t="shared" si="21"/>
        <v>24774.71</v>
      </c>
      <c r="R363" s="104"/>
      <c r="S363" s="66">
        <f t="shared" si="22"/>
        <v>2826.7944109999999</v>
      </c>
    </row>
    <row r="364" spans="1:19" ht="15" x14ac:dyDescent="0.25">
      <c r="A364" s="141" t="s">
        <v>148</v>
      </c>
      <c r="B364" s="141" t="s">
        <v>312</v>
      </c>
      <c r="C364" s="141" t="s">
        <v>66</v>
      </c>
      <c r="D364" s="142" t="s">
        <v>241</v>
      </c>
      <c r="E364" s="158" t="s">
        <v>369</v>
      </c>
      <c r="F364" s="142" t="s">
        <v>142</v>
      </c>
      <c r="G364" s="141">
        <v>104000</v>
      </c>
      <c r="H364" s="141" t="s">
        <v>110</v>
      </c>
      <c r="I364" s="141" t="s">
        <v>247</v>
      </c>
      <c r="J364" s="159" t="s">
        <v>248</v>
      </c>
      <c r="K364" s="160">
        <v>0</v>
      </c>
      <c r="L364" s="141"/>
      <c r="M364" s="161">
        <v>67863.72</v>
      </c>
      <c r="N364" s="161">
        <v>67000</v>
      </c>
      <c r="O364" s="161">
        <v>0</v>
      </c>
      <c r="P364" s="161">
        <v>67000</v>
      </c>
      <c r="Q364" s="104">
        <f t="shared" si="21"/>
        <v>863.72000000000116</v>
      </c>
      <c r="R364" s="104"/>
      <c r="S364" s="66">
        <f t="shared" si="22"/>
        <v>7743.2504520000002</v>
      </c>
    </row>
    <row r="365" spans="1:19" ht="15" x14ac:dyDescent="0.25">
      <c r="A365" s="141" t="s">
        <v>148</v>
      </c>
      <c r="B365" s="141" t="s">
        <v>312</v>
      </c>
      <c r="C365" s="141" t="s">
        <v>66</v>
      </c>
      <c r="D365" s="142" t="s">
        <v>241</v>
      </c>
      <c r="E365" s="158" t="s">
        <v>369</v>
      </c>
      <c r="F365" s="142" t="s">
        <v>142</v>
      </c>
      <c r="G365" s="141">
        <v>104000</v>
      </c>
      <c r="H365" s="141" t="s">
        <v>110</v>
      </c>
      <c r="I365" s="141" t="s">
        <v>247</v>
      </c>
      <c r="J365" s="159" t="s">
        <v>286</v>
      </c>
      <c r="K365" s="160">
        <v>0</v>
      </c>
      <c r="L365" s="141"/>
      <c r="M365" s="161">
        <v>2522.84</v>
      </c>
      <c r="N365" s="161">
        <v>0</v>
      </c>
      <c r="O365" s="161">
        <v>0</v>
      </c>
      <c r="P365" s="161">
        <v>0</v>
      </c>
      <c r="Q365" s="104">
        <f t="shared" si="21"/>
        <v>2522.84</v>
      </c>
      <c r="R365" s="104"/>
      <c r="S365" s="66">
        <f t="shared" si="22"/>
        <v>287.85604400000005</v>
      </c>
    </row>
    <row r="366" spans="1:19" ht="15" x14ac:dyDescent="0.25">
      <c r="A366" s="141" t="s">
        <v>148</v>
      </c>
      <c r="B366" s="141" t="s">
        <v>312</v>
      </c>
      <c r="C366" s="141" t="s">
        <v>66</v>
      </c>
      <c r="D366" s="142" t="s">
        <v>241</v>
      </c>
      <c r="E366" s="158" t="s">
        <v>369</v>
      </c>
      <c r="F366" s="142" t="s">
        <v>142</v>
      </c>
      <c r="G366" s="141">
        <v>105010</v>
      </c>
      <c r="H366" s="141" t="s">
        <v>118</v>
      </c>
      <c r="I366" s="141" t="s">
        <v>247</v>
      </c>
      <c r="J366" s="159" t="s">
        <v>248</v>
      </c>
      <c r="K366" s="160">
        <v>0</v>
      </c>
      <c r="L366" s="141"/>
      <c r="M366" s="161">
        <v>3287.28</v>
      </c>
      <c r="N366" s="161">
        <v>0</v>
      </c>
      <c r="O366" s="161">
        <v>0</v>
      </c>
      <c r="P366" s="161">
        <v>0</v>
      </c>
      <c r="Q366" s="104">
        <f t="shared" si="21"/>
        <v>3287.28</v>
      </c>
      <c r="R366" s="104"/>
      <c r="S366" s="66">
        <f t="shared" si="22"/>
        <v>375.0786480000001</v>
      </c>
    </row>
    <row r="367" spans="1:19" ht="15" x14ac:dyDescent="0.25">
      <c r="A367" s="141" t="s">
        <v>148</v>
      </c>
      <c r="B367" s="141" t="s">
        <v>312</v>
      </c>
      <c r="C367" s="141" t="s">
        <v>66</v>
      </c>
      <c r="D367" s="142" t="s">
        <v>241</v>
      </c>
      <c r="E367" s="158" t="s">
        <v>369</v>
      </c>
      <c r="F367" s="142" t="s">
        <v>142</v>
      </c>
      <c r="G367" s="141">
        <v>105098</v>
      </c>
      <c r="H367" s="141" t="s">
        <v>265</v>
      </c>
      <c r="I367" s="141" t="s">
        <v>247</v>
      </c>
      <c r="J367" s="159" t="s">
        <v>302</v>
      </c>
      <c r="K367" s="160">
        <v>0</v>
      </c>
      <c r="L367" s="141"/>
      <c r="M367" s="161">
        <v>-5124</v>
      </c>
      <c r="N367" s="161">
        <v>0</v>
      </c>
      <c r="O367" s="161">
        <v>0</v>
      </c>
      <c r="P367" s="161">
        <v>0</v>
      </c>
      <c r="Q367" s="104">
        <f t="shared" si="21"/>
        <v>-5124</v>
      </c>
      <c r="R367" s="104"/>
      <c r="S367" s="66">
        <f t="shared" si="22"/>
        <v>-584.64840000000004</v>
      </c>
    </row>
    <row r="368" spans="1:19" ht="15" x14ac:dyDescent="0.25">
      <c r="A368" s="141" t="s">
        <v>148</v>
      </c>
      <c r="B368" s="141" t="s">
        <v>312</v>
      </c>
      <c r="C368" s="141" t="s">
        <v>66</v>
      </c>
      <c r="D368" s="142" t="s">
        <v>241</v>
      </c>
      <c r="E368" s="158" t="s">
        <v>369</v>
      </c>
      <c r="F368" s="142" t="s">
        <v>142</v>
      </c>
      <c r="G368" s="141">
        <v>105099</v>
      </c>
      <c r="H368" s="141" t="s">
        <v>103</v>
      </c>
      <c r="I368" s="141" t="s">
        <v>247</v>
      </c>
      <c r="J368" s="159" t="s">
        <v>303</v>
      </c>
      <c r="K368" s="160">
        <v>0</v>
      </c>
      <c r="L368" s="141"/>
      <c r="M368" s="161">
        <v>5124</v>
      </c>
      <c r="N368" s="161">
        <v>0</v>
      </c>
      <c r="O368" s="161">
        <v>0</v>
      </c>
      <c r="P368" s="161">
        <v>0</v>
      </c>
      <c r="Q368" s="104">
        <f t="shared" si="21"/>
        <v>5124</v>
      </c>
      <c r="R368" s="104"/>
      <c r="S368" s="66">
        <f t="shared" si="22"/>
        <v>584.64840000000004</v>
      </c>
    </row>
    <row r="369" spans="1:19" ht="15" x14ac:dyDescent="0.25">
      <c r="A369" s="141" t="s">
        <v>148</v>
      </c>
      <c r="B369" s="141" t="s">
        <v>312</v>
      </c>
      <c r="C369" s="141" t="s">
        <v>66</v>
      </c>
      <c r="D369" s="142" t="s">
        <v>241</v>
      </c>
      <c r="E369" s="158" t="s">
        <v>369</v>
      </c>
      <c r="F369" s="142" t="s">
        <v>142</v>
      </c>
      <c r="G369" s="144">
        <v>109001</v>
      </c>
      <c r="H369" s="141" t="s">
        <v>101</v>
      </c>
      <c r="I369" s="141" t="s">
        <v>247</v>
      </c>
      <c r="J369" s="159" t="s">
        <v>248</v>
      </c>
      <c r="K369" s="160">
        <v>0</v>
      </c>
      <c r="L369" s="141"/>
      <c r="M369" s="161">
        <v>861446.2</v>
      </c>
      <c r="N369" s="161">
        <v>817000</v>
      </c>
      <c r="O369" s="161">
        <v>-8000</v>
      </c>
      <c r="P369" s="161">
        <v>809000</v>
      </c>
      <c r="Q369" s="104">
        <f t="shared" si="21"/>
        <v>52446.199999999953</v>
      </c>
      <c r="R369" s="129">
        <f t="shared" ref="R369:R370" si="24">M369*-1.141</f>
        <v>-982910.11419999995</v>
      </c>
    </row>
    <row r="370" spans="1:19" ht="15" x14ac:dyDescent="0.25">
      <c r="A370" s="141" t="s">
        <v>148</v>
      </c>
      <c r="B370" s="141" t="s">
        <v>312</v>
      </c>
      <c r="C370" s="141" t="s">
        <v>66</v>
      </c>
      <c r="D370" s="142" t="s">
        <v>241</v>
      </c>
      <c r="E370" s="158" t="s">
        <v>369</v>
      </c>
      <c r="F370" s="142" t="s">
        <v>142</v>
      </c>
      <c r="G370" s="144">
        <v>109001</v>
      </c>
      <c r="H370" s="141" t="s">
        <v>101</v>
      </c>
      <c r="I370" s="141" t="s">
        <v>247</v>
      </c>
      <c r="J370" s="159" t="s">
        <v>286</v>
      </c>
      <c r="K370" s="160">
        <v>0</v>
      </c>
      <c r="L370" s="141"/>
      <c r="M370" s="161">
        <v>4341.4799999999996</v>
      </c>
      <c r="N370" s="161">
        <v>0</v>
      </c>
      <c r="O370" s="161">
        <v>0</v>
      </c>
      <c r="P370" s="161">
        <v>0</v>
      </c>
      <c r="Q370" s="104">
        <f t="shared" si="21"/>
        <v>4341.4799999999996</v>
      </c>
      <c r="R370" s="129">
        <f t="shared" si="24"/>
        <v>-4953.6286799999998</v>
      </c>
    </row>
    <row r="371" spans="1:19" ht="15" x14ac:dyDescent="0.25">
      <c r="A371" s="141" t="s">
        <v>148</v>
      </c>
      <c r="B371" s="141" t="s">
        <v>312</v>
      </c>
      <c r="C371" s="141" t="s">
        <v>66</v>
      </c>
      <c r="D371" s="142" t="s">
        <v>241</v>
      </c>
      <c r="E371" s="158" t="s">
        <v>369</v>
      </c>
      <c r="F371" s="142" t="s">
        <v>142</v>
      </c>
      <c r="G371" s="144">
        <v>109901</v>
      </c>
      <c r="H371" s="141" t="s">
        <v>102</v>
      </c>
      <c r="I371" s="141" t="s">
        <v>247</v>
      </c>
      <c r="J371" s="159" t="s">
        <v>248</v>
      </c>
      <c r="K371" s="160">
        <v>0</v>
      </c>
      <c r="L371" s="141"/>
      <c r="M371" s="161">
        <v>1267511.8400000001</v>
      </c>
      <c r="N371" s="161">
        <v>1340000</v>
      </c>
      <c r="O371" s="161">
        <v>-14000</v>
      </c>
      <c r="P371" s="161">
        <v>1326000</v>
      </c>
      <c r="Q371" s="104">
        <f t="shared" si="21"/>
        <v>-58488.159999999916</v>
      </c>
      <c r="R371" s="104"/>
    </row>
    <row r="372" spans="1:19" ht="15" x14ac:dyDescent="0.25">
      <c r="A372" s="141" t="s">
        <v>148</v>
      </c>
      <c r="B372" s="141" t="s">
        <v>312</v>
      </c>
      <c r="C372" s="141" t="s">
        <v>66</v>
      </c>
      <c r="D372" s="142" t="s">
        <v>241</v>
      </c>
      <c r="E372" s="158" t="s">
        <v>369</v>
      </c>
      <c r="F372" s="142" t="s">
        <v>142</v>
      </c>
      <c r="G372" s="144">
        <v>109901</v>
      </c>
      <c r="H372" s="141" t="s">
        <v>102</v>
      </c>
      <c r="I372" s="141" t="s">
        <v>247</v>
      </c>
      <c r="J372" s="159" t="s">
        <v>303</v>
      </c>
      <c r="K372" s="160">
        <v>0</v>
      </c>
      <c r="L372" s="141"/>
      <c r="M372" s="161">
        <v>724.4</v>
      </c>
      <c r="N372" s="161">
        <v>0</v>
      </c>
      <c r="O372" s="161">
        <v>0</v>
      </c>
      <c r="P372" s="161">
        <v>0</v>
      </c>
      <c r="Q372" s="104">
        <f t="shared" si="21"/>
        <v>724.4</v>
      </c>
      <c r="R372" s="104"/>
    </row>
    <row r="373" spans="1:19" ht="15" x14ac:dyDescent="0.25">
      <c r="A373" s="141" t="s">
        <v>148</v>
      </c>
      <c r="B373" s="141" t="s">
        <v>312</v>
      </c>
      <c r="C373" s="141" t="s">
        <v>66</v>
      </c>
      <c r="D373" s="142" t="s">
        <v>241</v>
      </c>
      <c r="E373" s="158" t="s">
        <v>369</v>
      </c>
      <c r="F373" s="142" t="s">
        <v>142</v>
      </c>
      <c r="G373" s="144">
        <v>109901</v>
      </c>
      <c r="H373" s="141" t="s">
        <v>102</v>
      </c>
      <c r="I373" s="141" t="s">
        <v>247</v>
      </c>
      <c r="J373" s="159" t="s">
        <v>286</v>
      </c>
      <c r="K373" s="160">
        <v>0</v>
      </c>
      <c r="L373" s="141"/>
      <c r="M373" s="161">
        <v>8152</v>
      </c>
      <c r="N373" s="161">
        <v>0</v>
      </c>
      <c r="O373" s="161">
        <v>0</v>
      </c>
      <c r="P373" s="161">
        <v>0</v>
      </c>
      <c r="Q373" s="104">
        <f t="shared" si="21"/>
        <v>8152</v>
      </c>
      <c r="R373" s="104"/>
    </row>
    <row r="374" spans="1:19" ht="15" x14ac:dyDescent="0.25">
      <c r="A374" s="141" t="s">
        <v>148</v>
      </c>
      <c r="B374" s="141" t="s">
        <v>314</v>
      </c>
      <c r="C374" s="141" t="s">
        <v>71</v>
      </c>
      <c r="D374" s="142" t="s">
        <v>241</v>
      </c>
      <c r="E374" s="158" t="s">
        <v>369</v>
      </c>
      <c r="F374" s="142" t="s">
        <v>142</v>
      </c>
      <c r="G374" s="141">
        <v>101001</v>
      </c>
      <c r="H374" s="141" t="s">
        <v>104</v>
      </c>
      <c r="I374" s="141" t="s">
        <v>247</v>
      </c>
      <c r="J374" s="159" t="s">
        <v>248</v>
      </c>
      <c r="K374" s="160">
        <v>0</v>
      </c>
      <c r="L374" s="141"/>
      <c r="M374" s="161">
        <v>9079305.8300000001</v>
      </c>
      <c r="N374" s="161">
        <v>9376000</v>
      </c>
      <c r="O374" s="161">
        <v>312000</v>
      </c>
      <c r="P374" s="161">
        <v>9688000</v>
      </c>
      <c r="Q374" s="104">
        <f t="shared" si="21"/>
        <v>-608694.16999999993</v>
      </c>
      <c r="R374" s="104"/>
      <c r="S374" s="66">
        <f t="shared" si="22"/>
        <v>1035948.7952030001</v>
      </c>
    </row>
    <row r="375" spans="1:19" ht="15" x14ac:dyDescent="0.25">
      <c r="A375" s="141" t="s">
        <v>148</v>
      </c>
      <c r="B375" s="141" t="s">
        <v>314</v>
      </c>
      <c r="C375" s="141" t="s">
        <v>71</v>
      </c>
      <c r="D375" s="142" t="s">
        <v>241</v>
      </c>
      <c r="E375" s="158" t="s">
        <v>369</v>
      </c>
      <c r="F375" s="142" t="s">
        <v>142</v>
      </c>
      <c r="G375" s="141">
        <v>101002</v>
      </c>
      <c r="H375" s="141" t="s">
        <v>105</v>
      </c>
      <c r="I375" s="141" t="s">
        <v>247</v>
      </c>
      <c r="J375" s="159" t="s">
        <v>248</v>
      </c>
      <c r="K375" s="160">
        <v>0</v>
      </c>
      <c r="L375" s="141"/>
      <c r="M375" s="161">
        <v>1065159.6100000001</v>
      </c>
      <c r="N375" s="161">
        <v>31000</v>
      </c>
      <c r="O375" s="161">
        <v>4000</v>
      </c>
      <c r="P375" s="161">
        <v>35000</v>
      </c>
      <c r="Q375" s="104">
        <f t="shared" si="21"/>
        <v>1030159.6100000001</v>
      </c>
      <c r="R375" s="129"/>
      <c r="S375" s="66">
        <f t="shared" si="22"/>
        <v>121534.71150100001</v>
      </c>
    </row>
    <row r="376" spans="1:19" ht="15" x14ac:dyDescent="0.25">
      <c r="A376" s="141" t="s">
        <v>148</v>
      </c>
      <c r="B376" s="141" t="s">
        <v>314</v>
      </c>
      <c r="C376" s="141" t="s">
        <v>71</v>
      </c>
      <c r="D376" s="142" t="s">
        <v>241</v>
      </c>
      <c r="E376" s="158" t="s">
        <v>369</v>
      </c>
      <c r="F376" s="142" t="s">
        <v>142</v>
      </c>
      <c r="G376" s="141">
        <v>101002</v>
      </c>
      <c r="H376" s="141" t="s">
        <v>105</v>
      </c>
      <c r="I376" s="141" t="s">
        <v>247</v>
      </c>
      <c r="J376" s="159" t="s">
        <v>286</v>
      </c>
      <c r="K376" s="160">
        <v>0</v>
      </c>
      <c r="L376" s="141"/>
      <c r="M376" s="161">
        <v>6210.57</v>
      </c>
      <c r="N376" s="161">
        <v>0</v>
      </c>
      <c r="O376" s="161">
        <v>0</v>
      </c>
      <c r="P376" s="161">
        <v>0</v>
      </c>
      <c r="Q376" s="104">
        <f t="shared" si="21"/>
        <v>6210.57</v>
      </c>
      <c r="R376" s="129"/>
      <c r="S376" s="66">
        <f t="shared" si="22"/>
        <v>708.626037</v>
      </c>
    </row>
    <row r="377" spans="1:19" ht="15" x14ac:dyDescent="0.25">
      <c r="A377" s="141" t="s">
        <v>148</v>
      </c>
      <c r="B377" s="141" t="s">
        <v>314</v>
      </c>
      <c r="C377" s="141" t="s">
        <v>71</v>
      </c>
      <c r="D377" s="142" t="s">
        <v>241</v>
      </c>
      <c r="E377" s="158" t="s">
        <v>369</v>
      </c>
      <c r="F377" s="142" t="s">
        <v>142</v>
      </c>
      <c r="G377" s="141">
        <v>101039</v>
      </c>
      <c r="H377" s="141" t="s">
        <v>107</v>
      </c>
      <c r="I377" s="141" t="s">
        <v>247</v>
      </c>
      <c r="J377" s="159" t="s">
        <v>248</v>
      </c>
      <c r="K377" s="160">
        <v>0</v>
      </c>
      <c r="L377" s="141"/>
      <c r="M377" s="161">
        <v>255239.16</v>
      </c>
      <c r="N377" s="161">
        <v>0</v>
      </c>
      <c r="O377" s="161">
        <v>0</v>
      </c>
      <c r="P377" s="161">
        <v>0</v>
      </c>
      <c r="Q377" s="104">
        <f t="shared" si="21"/>
        <v>255239.16</v>
      </c>
      <c r="R377" s="129"/>
      <c r="S377" s="66">
        <f t="shared" si="22"/>
        <v>29122.788156000002</v>
      </c>
    </row>
    <row r="378" spans="1:19" ht="15" x14ac:dyDescent="0.25">
      <c r="A378" s="141" t="s">
        <v>148</v>
      </c>
      <c r="B378" s="141" t="s">
        <v>314</v>
      </c>
      <c r="C378" s="141" t="s">
        <v>71</v>
      </c>
      <c r="D378" s="142" t="s">
        <v>241</v>
      </c>
      <c r="E378" s="158" t="s">
        <v>369</v>
      </c>
      <c r="F378" s="142" t="s">
        <v>142</v>
      </c>
      <c r="G378" s="141">
        <v>102002</v>
      </c>
      <c r="H378" s="141" t="s">
        <v>108</v>
      </c>
      <c r="I378" s="141" t="s">
        <v>247</v>
      </c>
      <c r="J378" s="159" t="s">
        <v>248</v>
      </c>
      <c r="K378" s="160">
        <v>0</v>
      </c>
      <c r="L378" s="141"/>
      <c r="M378" s="161">
        <v>11879.7</v>
      </c>
      <c r="N378" s="161">
        <v>0</v>
      </c>
      <c r="O378" s="161">
        <v>0</v>
      </c>
      <c r="P378" s="161">
        <v>0</v>
      </c>
      <c r="Q378" s="104">
        <f t="shared" si="21"/>
        <v>11879.7</v>
      </c>
      <c r="R378" s="129"/>
      <c r="S378" s="66">
        <f t="shared" si="22"/>
        <v>1355.4737700000001</v>
      </c>
    </row>
    <row r="379" spans="1:19" ht="15" x14ac:dyDescent="0.25">
      <c r="A379" s="141" t="s">
        <v>148</v>
      </c>
      <c r="B379" s="141" t="s">
        <v>314</v>
      </c>
      <c r="C379" s="141" t="s">
        <v>71</v>
      </c>
      <c r="D379" s="142" t="s">
        <v>241</v>
      </c>
      <c r="E379" s="158" t="s">
        <v>369</v>
      </c>
      <c r="F379" s="142" t="s">
        <v>142</v>
      </c>
      <c r="G379" s="141">
        <v>102002</v>
      </c>
      <c r="H379" s="141" t="s">
        <v>108</v>
      </c>
      <c r="I379" s="141" t="s">
        <v>247</v>
      </c>
      <c r="J379" s="159" t="s">
        <v>286</v>
      </c>
      <c r="K379" s="160">
        <v>0</v>
      </c>
      <c r="L379" s="141"/>
      <c r="M379" s="161">
        <v>16147.67</v>
      </c>
      <c r="N379" s="161">
        <v>0</v>
      </c>
      <c r="O379" s="161">
        <v>0</v>
      </c>
      <c r="P379" s="161">
        <v>0</v>
      </c>
      <c r="Q379" s="104">
        <f t="shared" si="21"/>
        <v>16147.67</v>
      </c>
      <c r="R379" s="129"/>
      <c r="S379" s="66">
        <f t="shared" si="22"/>
        <v>1842.449147</v>
      </c>
    </row>
    <row r="380" spans="1:19" ht="15" x14ac:dyDescent="0.25">
      <c r="A380" s="141" t="s">
        <v>148</v>
      </c>
      <c r="B380" s="141" t="s">
        <v>314</v>
      </c>
      <c r="C380" s="141" t="s">
        <v>71</v>
      </c>
      <c r="D380" s="142" t="s">
        <v>241</v>
      </c>
      <c r="E380" s="158" t="s">
        <v>369</v>
      </c>
      <c r="F380" s="142" t="s">
        <v>142</v>
      </c>
      <c r="G380" s="141">
        <v>102003</v>
      </c>
      <c r="H380" s="141" t="s">
        <v>106</v>
      </c>
      <c r="I380" s="141" t="s">
        <v>247</v>
      </c>
      <c r="J380" s="159" t="s">
        <v>248</v>
      </c>
      <c r="K380" s="160">
        <v>0</v>
      </c>
      <c r="L380" s="141"/>
      <c r="M380" s="161">
        <v>157949.26999999999</v>
      </c>
      <c r="N380" s="161">
        <v>211000</v>
      </c>
      <c r="O380" s="161">
        <v>78000</v>
      </c>
      <c r="P380" s="161">
        <v>289000</v>
      </c>
      <c r="Q380" s="104">
        <f t="shared" si="21"/>
        <v>-131050.73000000001</v>
      </c>
      <c r="R380" s="104"/>
      <c r="S380" s="66">
        <f t="shared" si="22"/>
        <v>18022.011707000001</v>
      </c>
    </row>
    <row r="381" spans="1:19" ht="15" x14ac:dyDescent="0.25">
      <c r="A381" s="141" t="s">
        <v>148</v>
      </c>
      <c r="B381" s="141" t="s">
        <v>314</v>
      </c>
      <c r="C381" s="141" t="s">
        <v>71</v>
      </c>
      <c r="D381" s="142" t="s">
        <v>241</v>
      </c>
      <c r="E381" s="158" t="s">
        <v>369</v>
      </c>
      <c r="F381" s="142" t="s">
        <v>142</v>
      </c>
      <c r="G381" s="141">
        <v>102003</v>
      </c>
      <c r="H381" s="141" t="s">
        <v>106</v>
      </c>
      <c r="I381" s="141" t="s">
        <v>247</v>
      </c>
      <c r="J381" s="159" t="s">
        <v>288</v>
      </c>
      <c r="K381" s="160">
        <v>0</v>
      </c>
      <c r="L381" s="141"/>
      <c r="M381" s="161">
        <v>4024.27</v>
      </c>
      <c r="N381" s="161">
        <v>0</v>
      </c>
      <c r="O381" s="161">
        <v>0</v>
      </c>
      <c r="P381" s="161">
        <v>0</v>
      </c>
      <c r="Q381" s="104">
        <f t="shared" si="21"/>
        <v>4024.27</v>
      </c>
      <c r="R381" s="104"/>
      <c r="S381" s="66">
        <f t="shared" si="22"/>
        <v>459.16920700000003</v>
      </c>
    </row>
    <row r="382" spans="1:19" ht="15" x14ac:dyDescent="0.25">
      <c r="A382" s="141" t="s">
        <v>148</v>
      </c>
      <c r="B382" s="141" t="s">
        <v>314</v>
      </c>
      <c r="C382" s="141" t="s">
        <v>71</v>
      </c>
      <c r="D382" s="142" t="s">
        <v>241</v>
      </c>
      <c r="E382" s="158" t="s">
        <v>369</v>
      </c>
      <c r="F382" s="142" t="s">
        <v>142</v>
      </c>
      <c r="G382" s="141">
        <v>102005</v>
      </c>
      <c r="H382" s="141" t="s">
        <v>112</v>
      </c>
      <c r="I382" s="141" t="s">
        <v>247</v>
      </c>
      <c r="J382" s="159" t="s">
        <v>248</v>
      </c>
      <c r="K382" s="160">
        <v>0</v>
      </c>
      <c r="L382" s="141"/>
      <c r="M382" s="161">
        <v>124217.65</v>
      </c>
      <c r="N382" s="161">
        <v>0</v>
      </c>
      <c r="O382" s="161">
        <v>0</v>
      </c>
      <c r="P382" s="161">
        <v>0</v>
      </c>
      <c r="Q382" s="104">
        <f t="shared" si="21"/>
        <v>124217.65</v>
      </c>
      <c r="R382" s="129"/>
      <c r="S382" s="66">
        <f t="shared" si="22"/>
        <v>14173.233865</v>
      </c>
    </row>
    <row r="383" spans="1:19" ht="15" x14ac:dyDescent="0.25">
      <c r="A383" s="141" t="s">
        <v>148</v>
      </c>
      <c r="B383" s="141" t="s">
        <v>314</v>
      </c>
      <c r="C383" s="141" t="s">
        <v>71</v>
      </c>
      <c r="D383" s="142" t="s">
        <v>241</v>
      </c>
      <c r="E383" s="158" t="s">
        <v>369</v>
      </c>
      <c r="F383" s="142" t="s">
        <v>142</v>
      </c>
      <c r="G383" s="141">
        <v>102062</v>
      </c>
      <c r="H383" s="141" t="s">
        <v>113</v>
      </c>
      <c r="I383" s="141" t="s">
        <v>247</v>
      </c>
      <c r="J383" s="159" t="s">
        <v>248</v>
      </c>
      <c r="K383" s="160">
        <v>0</v>
      </c>
      <c r="L383" s="141"/>
      <c r="M383" s="161">
        <v>10067.86</v>
      </c>
      <c r="N383" s="161">
        <v>0</v>
      </c>
      <c r="O383" s="161">
        <v>0</v>
      </c>
      <c r="P383" s="161">
        <v>0</v>
      </c>
      <c r="Q383" s="104">
        <f t="shared" si="21"/>
        <v>10067.86</v>
      </c>
      <c r="R383" s="129"/>
      <c r="S383" s="66">
        <f t="shared" si="22"/>
        <v>1148.7428260000002</v>
      </c>
    </row>
    <row r="384" spans="1:19" ht="15" x14ac:dyDescent="0.25">
      <c r="A384" s="141" t="s">
        <v>148</v>
      </c>
      <c r="B384" s="141" t="s">
        <v>314</v>
      </c>
      <c r="C384" s="141" t="s">
        <v>71</v>
      </c>
      <c r="D384" s="142" t="s">
        <v>241</v>
      </c>
      <c r="E384" s="158" t="s">
        <v>369</v>
      </c>
      <c r="F384" s="142" t="s">
        <v>142</v>
      </c>
      <c r="G384" s="141">
        <v>103001</v>
      </c>
      <c r="H384" s="141" t="s">
        <v>109</v>
      </c>
      <c r="I384" s="141" t="s">
        <v>247</v>
      </c>
      <c r="J384" s="159" t="s">
        <v>248</v>
      </c>
      <c r="K384" s="160">
        <v>0</v>
      </c>
      <c r="L384" s="141"/>
      <c r="M384" s="161">
        <v>15446.33</v>
      </c>
      <c r="N384" s="161">
        <v>0</v>
      </c>
      <c r="O384" s="161">
        <v>35000</v>
      </c>
      <c r="P384" s="161">
        <v>35000</v>
      </c>
      <c r="Q384" s="104">
        <f t="shared" si="21"/>
        <v>-19553.669999999998</v>
      </c>
      <c r="R384" s="129"/>
      <c r="S384" s="66">
        <f t="shared" si="22"/>
        <v>1762.4262530000001</v>
      </c>
    </row>
    <row r="385" spans="1:19" ht="15" x14ac:dyDescent="0.25">
      <c r="A385" s="141" t="s">
        <v>148</v>
      </c>
      <c r="B385" s="141" t="s">
        <v>314</v>
      </c>
      <c r="C385" s="141" t="s">
        <v>71</v>
      </c>
      <c r="D385" s="142" t="s">
        <v>241</v>
      </c>
      <c r="E385" s="158" t="s">
        <v>369</v>
      </c>
      <c r="F385" s="142" t="s">
        <v>142</v>
      </c>
      <c r="G385" s="141">
        <v>103001</v>
      </c>
      <c r="H385" s="141" t="s">
        <v>109</v>
      </c>
      <c r="I385" s="141" t="s">
        <v>247</v>
      </c>
      <c r="J385" s="159" t="s">
        <v>286</v>
      </c>
      <c r="K385" s="160">
        <v>0</v>
      </c>
      <c r="L385" s="141"/>
      <c r="M385" s="161">
        <v>14790.66</v>
      </c>
      <c r="N385" s="161">
        <v>0</v>
      </c>
      <c r="O385" s="161">
        <v>0</v>
      </c>
      <c r="P385" s="161">
        <v>0</v>
      </c>
      <c r="Q385" s="104">
        <f t="shared" si="21"/>
        <v>14790.66</v>
      </c>
      <c r="R385" s="129"/>
      <c r="S385" s="66">
        <f t="shared" si="22"/>
        <v>1687.6143060000002</v>
      </c>
    </row>
    <row r="386" spans="1:19" ht="15" x14ac:dyDescent="0.25">
      <c r="A386" s="141" t="s">
        <v>148</v>
      </c>
      <c r="B386" s="141" t="s">
        <v>314</v>
      </c>
      <c r="C386" s="141" t="s">
        <v>71</v>
      </c>
      <c r="D386" s="142" t="s">
        <v>241</v>
      </c>
      <c r="E386" s="158" t="s">
        <v>369</v>
      </c>
      <c r="F386" s="142" t="s">
        <v>142</v>
      </c>
      <c r="G386" s="141">
        <v>103062</v>
      </c>
      <c r="H386" s="141" t="s">
        <v>114</v>
      </c>
      <c r="I386" s="141" t="s">
        <v>247</v>
      </c>
      <c r="J386" s="159" t="s">
        <v>248</v>
      </c>
      <c r="K386" s="160">
        <v>0</v>
      </c>
      <c r="L386" s="141"/>
      <c r="M386" s="161">
        <v>1361.92</v>
      </c>
      <c r="N386" s="161">
        <v>0</v>
      </c>
      <c r="O386" s="161">
        <v>0</v>
      </c>
      <c r="P386" s="161">
        <v>0</v>
      </c>
      <c r="Q386" s="104">
        <f t="shared" si="21"/>
        <v>1361.92</v>
      </c>
      <c r="R386" s="129"/>
      <c r="S386" s="66">
        <f t="shared" si="22"/>
        <v>155.395072</v>
      </c>
    </row>
    <row r="387" spans="1:19" ht="15" x14ac:dyDescent="0.25">
      <c r="A387" s="141" t="s">
        <v>148</v>
      </c>
      <c r="B387" s="141" t="s">
        <v>314</v>
      </c>
      <c r="C387" s="141" t="s">
        <v>71</v>
      </c>
      <c r="D387" s="142" t="s">
        <v>241</v>
      </c>
      <c r="E387" s="158" t="s">
        <v>369</v>
      </c>
      <c r="F387" s="142" t="s">
        <v>142</v>
      </c>
      <c r="G387" s="141">
        <v>103069</v>
      </c>
      <c r="H387" s="141" t="s">
        <v>214</v>
      </c>
      <c r="I387" s="141" t="s">
        <v>247</v>
      </c>
      <c r="J387" s="159" t="s">
        <v>248</v>
      </c>
      <c r="K387" s="160">
        <v>0</v>
      </c>
      <c r="L387" s="141"/>
      <c r="M387" s="161">
        <v>23941.49</v>
      </c>
      <c r="N387" s="161">
        <v>0</v>
      </c>
      <c r="O387" s="161">
        <v>0</v>
      </c>
      <c r="P387" s="161">
        <v>0</v>
      </c>
      <c r="Q387" s="104">
        <f t="shared" si="21"/>
        <v>23941.49</v>
      </c>
      <c r="R387" s="104"/>
      <c r="S387" s="66">
        <f t="shared" si="22"/>
        <v>2731.7240090000005</v>
      </c>
    </row>
    <row r="388" spans="1:19" ht="15" x14ac:dyDescent="0.25">
      <c r="A388" s="141" t="s">
        <v>148</v>
      </c>
      <c r="B388" s="141" t="s">
        <v>314</v>
      </c>
      <c r="C388" s="141" t="s">
        <v>71</v>
      </c>
      <c r="D388" s="142" t="s">
        <v>241</v>
      </c>
      <c r="E388" s="158" t="s">
        <v>369</v>
      </c>
      <c r="F388" s="142" t="s">
        <v>142</v>
      </c>
      <c r="G388" s="141">
        <v>104000</v>
      </c>
      <c r="H388" s="141" t="s">
        <v>110</v>
      </c>
      <c r="I388" s="141" t="s">
        <v>247</v>
      </c>
      <c r="J388" s="159" t="s">
        <v>248</v>
      </c>
      <c r="K388" s="160">
        <v>0</v>
      </c>
      <c r="L388" s="141"/>
      <c r="M388" s="161">
        <v>54765.31</v>
      </c>
      <c r="N388" s="161">
        <v>85000</v>
      </c>
      <c r="O388" s="161">
        <v>0</v>
      </c>
      <c r="P388" s="161">
        <v>85000</v>
      </c>
      <c r="Q388" s="104">
        <f t="shared" si="21"/>
        <v>-30234.690000000002</v>
      </c>
      <c r="R388" s="104"/>
      <c r="S388" s="66">
        <f t="shared" si="22"/>
        <v>6248.7218709999997</v>
      </c>
    </row>
    <row r="389" spans="1:19" ht="15" x14ac:dyDescent="0.25">
      <c r="A389" s="141" t="s">
        <v>148</v>
      </c>
      <c r="B389" s="141" t="s">
        <v>314</v>
      </c>
      <c r="C389" s="141" t="s">
        <v>71</v>
      </c>
      <c r="D389" s="142" t="s">
        <v>241</v>
      </c>
      <c r="E389" s="158" t="s">
        <v>369</v>
      </c>
      <c r="F389" s="142" t="s">
        <v>142</v>
      </c>
      <c r="G389" s="141">
        <v>105003</v>
      </c>
      <c r="H389" s="141" t="s">
        <v>268</v>
      </c>
      <c r="I389" s="141" t="s">
        <v>247</v>
      </c>
      <c r="J389" s="159" t="s">
        <v>248</v>
      </c>
      <c r="K389" s="160">
        <v>0</v>
      </c>
      <c r="L389" s="141"/>
      <c r="M389" s="163">
        <v>358793.43</v>
      </c>
      <c r="N389" s="161">
        <v>0</v>
      </c>
      <c r="O389" s="161">
        <v>0</v>
      </c>
      <c r="P389" s="161">
        <v>0</v>
      </c>
      <c r="Q389" s="104">
        <f t="shared" si="21"/>
        <v>358793.43</v>
      </c>
      <c r="R389" s="104"/>
      <c r="S389" s="66">
        <f t="shared" si="22"/>
        <v>40938.330363000001</v>
      </c>
    </row>
    <row r="390" spans="1:19" ht="15" x14ac:dyDescent="0.25">
      <c r="A390" s="141" t="s">
        <v>148</v>
      </c>
      <c r="B390" s="141" t="s">
        <v>314</v>
      </c>
      <c r="C390" s="141" t="s">
        <v>71</v>
      </c>
      <c r="D390" s="142" t="s">
        <v>241</v>
      </c>
      <c r="E390" s="158" t="s">
        <v>369</v>
      </c>
      <c r="F390" s="142" t="s">
        <v>142</v>
      </c>
      <c r="G390" s="141">
        <v>105010</v>
      </c>
      <c r="H390" s="141" t="s">
        <v>118</v>
      </c>
      <c r="I390" s="141" t="s">
        <v>247</v>
      </c>
      <c r="J390" s="159" t="s">
        <v>248</v>
      </c>
      <c r="K390" s="160">
        <v>0</v>
      </c>
      <c r="L390" s="141"/>
      <c r="M390" s="161">
        <v>6658.53</v>
      </c>
      <c r="N390" s="161">
        <v>0</v>
      </c>
      <c r="O390" s="161">
        <v>0</v>
      </c>
      <c r="P390" s="161">
        <v>0</v>
      </c>
      <c r="Q390" s="104">
        <f t="shared" si="21"/>
        <v>6658.53</v>
      </c>
      <c r="R390" s="104"/>
      <c r="S390" s="66">
        <f t="shared" si="22"/>
        <v>759.73827300000005</v>
      </c>
    </row>
    <row r="391" spans="1:19" ht="15" x14ac:dyDescent="0.25">
      <c r="A391" s="141" t="s">
        <v>148</v>
      </c>
      <c r="B391" s="141" t="s">
        <v>314</v>
      </c>
      <c r="C391" s="141" t="s">
        <v>71</v>
      </c>
      <c r="D391" s="142" t="s">
        <v>241</v>
      </c>
      <c r="E391" s="158" t="s">
        <v>369</v>
      </c>
      <c r="F391" s="142" t="s">
        <v>142</v>
      </c>
      <c r="G391" s="141">
        <v>105019</v>
      </c>
      <c r="H391" s="141" t="s">
        <v>111</v>
      </c>
      <c r="I391" s="141" t="s">
        <v>247</v>
      </c>
      <c r="J391" s="159" t="s">
        <v>248</v>
      </c>
      <c r="K391" s="160">
        <v>0</v>
      </c>
      <c r="L391" s="141"/>
      <c r="M391" s="161">
        <v>674.28</v>
      </c>
      <c r="N391" s="161">
        <v>0</v>
      </c>
      <c r="O391" s="161">
        <v>0</v>
      </c>
      <c r="P391" s="161">
        <v>0</v>
      </c>
      <c r="Q391" s="104">
        <f t="shared" si="21"/>
        <v>674.28</v>
      </c>
      <c r="R391" s="104"/>
      <c r="S391" s="66">
        <f t="shared" si="22"/>
        <v>76.935348000000005</v>
      </c>
    </row>
    <row r="392" spans="1:19" ht="15" x14ac:dyDescent="0.25">
      <c r="A392" s="141" t="s">
        <v>148</v>
      </c>
      <c r="B392" s="141" t="s">
        <v>314</v>
      </c>
      <c r="C392" s="141" t="s">
        <v>71</v>
      </c>
      <c r="D392" s="142" t="s">
        <v>241</v>
      </c>
      <c r="E392" s="158" t="s">
        <v>369</v>
      </c>
      <c r="F392" s="142" t="s">
        <v>142</v>
      </c>
      <c r="G392" s="141">
        <v>105098</v>
      </c>
      <c r="H392" s="141" t="s">
        <v>265</v>
      </c>
      <c r="I392" s="141" t="s">
        <v>247</v>
      </c>
      <c r="J392" s="159" t="s">
        <v>302</v>
      </c>
      <c r="K392" s="160">
        <v>0</v>
      </c>
      <c r="L392" s="141"/>
      <c r="M392" s="161">
        <v>-6222</v>
      </c>
      <c r="N392" s="161">
        <v>0</v>
      </c>
      <c r="O392" s="161">
        <v>0</v>
      </c>
      <c r="P392" s="161">
        <v>0</v>
      </c>
      <c r="Q392" s="104">
        <f t="shared" ref="Q392:Q455" si="25">M392-P392</f>
        <v>-6222</v>
      </c>
      <c r="R392" s="104"/>
      <c r="S392" s="66">
        <f t="shared" si="22"/>
        <v>-709.93020000000001</v>
      </c>
    </row>
    <row r="393" spans="1:19" ht="15" x14ac:dyDescent="0.25">
      <c r="A393" s="141" t="s">
        <v>148</v>
      </c>
      <c r="B393" s="141" t="s">
        <v>314</v>
      </c>
      <c r="C393" s="141" t="s">
        <v>71</v>
      </c>
      <c r="D393" s="142" t="s">
        <v>241</v>
      </c>
      <c r="E393" s="158" t="s">
        <v>369</v>
      </c>
      <c r="F393" s="142" t="s">
        <v>142</v>
      </c>
      <c r="G393" s="141">
        <v>105099</v>
      </c>
      <c r="H393" s="141" t="s">
        <v>103</v>
      </c>
      <c r="I393" s="141" t="s">
        <v>247</v>
      </c>
      <c r="J393" s="159" t="s">
        <v>303</v>
      </c>
      <c r="K393" s="160">
        <v>0</v>
      </c>
      <c r="L393" s="141"/>
      <c r="M393" s="161">
        <v>6222</v>
      </c>
      <c r="N393" s="161">
        <v>0</v>
      </c>
      <c r="O393" s="161">
        <v>0</v>
      </c>
      <c r="P393" s="161">
        <v>0</v>
      </c>
      <c r="Q393" s="104">
        <f t="shared" si="25"/>
        <v>6222</v>
      </c>
      <c r="R393" s="104"/>
      <c r="S393" s="66">
        <f t="shared" ref="S393:S456" si="26">M393*$S$7*1.141</f>
        <v>709.93020000000001</v>
      </c>
    </row>
    <row r="394" spans="1:19" ht="15" x14ac:dyDescent="0.25">
      <c r="A394" s="141" t="s">
        <v>148</v>
      </c>
      <c r="B394" s="141" t="s">
        <v>314</v>
      </c>
      <c r="C394" s="141" t="s">
        <v>71</v>
      </c>
      <c r="D394" s="142" t="s">
        <v>241</v>
      </c>
      <c r="E394" s="158" t="s">
        <v>369</v>
      </c>
      <c r="F394" s="142" t="s">
        <v>142</v>
      </c>
      <c r="G394" s="144">
        <v>109001</v>
      </c>
      <c r="H394" s="141" t="s">
        <v>101</v>
      </c>
      <c r="I394" s="141" t="s">
        <v>247</v>
      </c>
      <c r="J394" s="159" t="s">
        <v>248</v>
      </c>
      <c r="K394" s="160">
        <v>0</v>
      </c>
      <c r="L394" s="141"/>
      <c r="M394" s="161">
        <v>1031135.13</v>
      </c>
      <c r="N394" s="161">
        <v>912000</v>
      </c>
      <c r="O394" s="161">
        <v>38000</v>
      </c>
      <c r="P394" s="161">
        <v>950000</v>
      </c>
      <c r="Q394" s="104">
        <f t="shared" si="25"/>
        <v>81135.13</v>
      </c>
      <c r="R394" s="129">
        <f t="shared" ref="R394:R396" si="27">M394*-1.141</f>
        <v>-1176525.1833299999</v>
      </c>
    </row>
    <row r="395" spans="1:19" ht="15" x14ac:dyDescent="0.25">
      <c r="A395" s="141" t="s">
        <v>148</v>
      </c>
      <c r="B395" s="141" t="s">
        <v>314</v>
      </c>
      <c r="C395" s="141" t="s">
        <v>71</v>
      </c>
      <c r="D395" s="142" t="s">
        <v>241</v>
      </c>
      <c r="E395" s="158" t="s">
        <v>369</v>
      </c>
      <c r="F395" s="142" t="s">
        <v>142</v>
      </c>
      <c r="G395" s="144">
        <v>109001</v>
      </c>
      <c r="H395" s="141" t="s">
        <v>101</v>
      </c>
      <c r="I395" s="141" t="s">
        <v>247</v>
      </c>
      <c r="J395" s="159" t="s">
        <v>288</v>
      </c>
      <c r="K395" s="160">
        <v>0</v>
      </c>
      <c r="L395" s="141"/>
      <c r="M395" s="161">
        <v>383.31</v>
      </c>
      <c r="N395" s="161">
        <v>0</v>
      </c>
      <c r="O395" s="161">
        <v>0</v>
      </c>
      <c r="P395" s="161">
        <v>0</v>
      </c>
      <c r="Q395" s="104">
        <f t="shared" si="25"/>
        <v>383.31</v>
      </c>
      <c r="R395" s="129">
        <f t="shared" si="27"/>
        <v>-437.35671000000002</v>
      </c>
    </row>
    <row r="396" spans="1:19" ht="15" x14ac:dyDescent="0.25">
      <c r="A396" s="141" t="s">
        <v>148</v>
      </c>
      <c r="B396" s="141" t="s">
        <v>314</v>
      </c>
      <c r="C396" s="141" t="s">
        <v>71</v>
      </c>
      <c r="D396" s="142" t="s">
        <v>241</v>
      </c>
      <c r="E396" s="158" t="s">
        <v>369</v>
      </c>
      <c r="F396" s="142" t="s">
        <v>142</v>
      </c>
      <c r="G396" s="144">
        <v>109001</v>
      </c>
      <c r="H396" s="141" t="s">
        <v>101</v>
      </c>
      <c r="I396" s="141" t="s">
        <v>247</v>
      </c>
      <c r="J396" s="159" t="s">
        <v>286</v>
      </c>
      <c r="K396" s="160">
        <v>0</v>
      </c>
      <c r="L396" s="141"/>
      <c r="M396" s="161">
        <v>3222.33</v>
      </c>
      <c r="N396" s="161">
        <v>0</v>
      </c>
      <c r="O396" s="161">
        <v>0</v>
      </c>
      <c r="P396" s="161">
        <v>0</v>
      </c>
      <c r="Q396" s="104">
        <f t="shared" si="25"/>
        <v>3222.33</v>
      </c>
      <c r="R396" s="129">
        <f t="shared" si="27"/>
        <v>-3676.6785300000001</v>
      </c>
    </row>
    <row r="397" spans="1:19" ht="15" x14ac:dyDescent="0.25">
      <c r="A397" s="141" t="s">
        <v>148</v>
      </c>
      <c r="B397" s="141" t="s">
        <v>314</v>
      </c>
      <c r="C397" s="141" t="s">
        <v>71</v>
      </c>
      <c r="D397" s="142" t="s">
        <v>241</v>
      </c>
      <c r="E397" s="158" t="s">
        <v>369</v>
      </c>
      <c r="F397" s="142" t="s">
        <v>142</v>
      </c>
      <c r="G397" s="144">
        <v>109901</v>
      </c>
      <c r="H397" s="141" t="s">
        <v>102</v>
      </c>
      <c r="I397" s="141" t="s">
        <v>247</v>
      </c>
      <c r="J397" s="159" t="s">
        <v>248</v>
      </c>
      <c r="K397" s="160">
        <v>0</v>
      </c>
      <c r="L397" s="141"/>
      <c r="M397" s="161">
        <v>1597057.61</v>
      </c>
      <c r="N397" s="161">
        <v>1497000</v>
      </c>
      <c r="O397" s="161">
        <v>60000</v>
      </c>
      <c r="P397" s="161">
        <v>1557000</v>
      </c>
      <c r="Q397" s="104">
        <f t="shared" si="25"/>
        <v>40057.610000000102</v>
      </c>
      <c r="R397" s="104"/>
    </row>
    <row r="398" spans="1:19" ht="15" x14ac:dyDescent="0.25">
      <c r="A398" s="141" t="s">
        <v>148</v>
      </c>
      <c r="B398" s="141" t="s">
        <v>314</v>
      </c>
      <c r="C398" s="141" t="s">
        <v>71</v>
      </c>
      <c r="D398" s="142" t="s">
        <v>241</v>
      </c>
      <c r="E398" s="158" t="s">
        <v>369</v>
      </c>
      <c r="F398" s="142" t="s">
        <v>142</v>
      </c>
      <c r="G398" s="144">
        <v>109901</v>
      </c>
      <c r="H398" s="141" t="s">
        <v>102</v>
      </c>
      <c r="I398" s="141" t="s">
        <v>247</v>
      </c>
      <c r="J398" s="159" t="s">
        <v>288</v>
      </c>
      <c r="K398" s="160">
        <v>0</v>
      </c>
      <c r="L398" s="141"/>
      <c r="M398" s="161">
        <v>621.47</v>
      </c>
      <c r="N398" s="161">
        <v>0</v>
      </c>
      <c r="O398" s="161">
        <v>0</v>
      </c>
      <c r="P398" s="161">
        <v>0</v>
      </c>
      <c r="Q398" s="104">
        <f t="shared" si="25"/>
        <v>621.47</v>
      </c>
      <c r="R398" s="104"/>
    </row>
    <row r="399" spans="1:19" ht="15" x14ac:dyDescent="0.25">
      <c r="A399" s="141" t="s">
        <v>148</v>
      </c>
      <c r="B399" s="141" t="s">
        <v>314</v>
      </c>
      <c r="C399" s="141" t="s">
        <v>71</v>
      </c>
      <c r="D399" s="142" t="s">
        <v>241</v>
      </c>
      <c r="E399" s="158" t="s">
        <v>369</v>
      </c>
      <c r="F399" s="142" t="s">
        <v>142</v>
      </c>
      <c r="G399" s="144">
        <v>109901</v>
      </c>
      <c r="H399" s="141" t="s">
        <v>102</v>
      </c>
      <c r="I399" s="141" t="s">
        <v>247</v>
      </c>
      <c r="J399" s="159" t="s">
        <v>303</v>
      </c>
      <c r="K399" s="160">
        <v>0</v>
      </c>
      <c r="L399" s="141"/>
      <c r="M399" s="161">
        <v>877.37</v>
      </c>
      <c r="N399" s="161">
        <v>0</v>
      </c>
      <c r="O399" s="161">
        <v>0</v>
      </c>
      <c r="P399" s="161">
        <v>0</v>
      </c>
      <c r="Q399" s="104">
        <f t="shared" si="25"/>
        <v>877.37</v>
      </c>
      <c r="R399" s="104"/>
    </row>
    <row r="400" spans="1:19" ht="15" x14ac:dyDescent="0.25">
      <c r="A400" s="141" t="s">
        <v>148</v>
      </c>
      <c r="B400" s="141" t="s">
        <v>314</v>
      </c>
      <c r="C400" s="141" t="s">
        <v>71</v>
      </c>
      <c r="D400" s="142" t="s">
        <v>241</v>
      </c>
      <c r="E400" s="158" t="s">
        <v>369</v>
      </c>
      <c r="F400" s="142" t="s">
        <v>142</v>
      </c>
      <c r="G400" s="144">
        <v>109901</v>
      </c>
      <c r="H400" s="141" t="s">
        <v>102</v>
      </c>
      <c r="I400" s="141" t="s">
        <v>247</v>
      </c>
      <c r="J400" s="159" t="s">
        <v>286</v>
      </c>
      <c r="K400" s="160">
        <v>0</v>
      </c>
      <c r="L400" s="141"/>
      <c r="M400" s="161">
        <v>5692.32</v>
      </c>
      <c r="N400" s="161">
        <v>0</v>
      </c>
      <c r="O400" s="161">
        <v>0</v>
      </c>
      <c r="P400" s="161">
        <v>0</v>
      </c>
      <c r="Q400" s="104">
        <f t="shared" si="25"/>
        <v>5692.32</v>
      </c>
      <c r="R400" s="104"/>
    </row>
    <row r="401" spans="1:19" ht="15" x14ac:dyDescent="0.25">
      <c r="A401" s="141" t="s">
        <v>148</v>
      </c>
      <c r="B401" s="141" t="s">
        <v>315</v>
      </c>
      <c r="C401" s="141" t="s">
        <v>163</v>
      </c>
      <c r="D401" s="142" t="s">
        <v>241</v>
      </c>
      <c r="E401" s="158" t="s">
        <v>369</v>
      </c>
      <c r="F401" s="142" t="s">
        <v>142</v>
      </c>
      <c r="G401" s="141">
        <v>101001</v>
      </c>
      <c r="H401" s="141" t="s">
        <v>104</v>
      </c>
      <c r="I401" s="141" t="s">
        <v>247</v>
      </c>
      <c r="J401" s="159" t="s">
        <v>248</v>
      </c>
      <c r="K401" s="160">
        <v>0</v>
      </c>
      <c r="L401" s="141"/>
      <c r="M401" s="161">
        <v>7644443.9199999999</v>
      </c>
      <c r="N401" s="161">
        <v>7586000</v>
      </c>
      <c r="O401" s="161">
        <v>257000</v>
      </c>
      <c r="P401" s="161">
        <v>7843000</v>
      </c>
      <c r="Q401" s="104">
        <f t="shared" si="25"/>
        <v>-198556.08000000007</v>
      </c>
      <c r="R401" s="104"/>
      <c r="S401" s="66">
        <f t="shared" si="26"/>
        <v>872231.05127199995</v>
      </c>
    </row>
    <row r="402" spans="1:19" ht="15" x14ac:dyDescent="0.25">
      <c r="A402" s="141" t="s">
        <v>148</v>
      </c>
      <c r="B402" s="141" t="s">
        <v>315</v>
      </c>
      <c r="C402" s="141" t="s">
        <v>163</v>
      </c>
      <c r="D402" s="142" t="s">
        <v>241</v>
      </c>
      <c r="E402" s="158" t="s">
        <v>369</v>
      </c>
      <c r="F402" s="142" t="s">
        <v>142</v>
      </c>
      <c r="G402" s="141">
        <v>101001</v>
      </c>
      <c r="H402" s="141" t="s">
        <v>104</v>
      </c>
      <c r="I402" s="141" t="s">
        <v>247</v>
      </c>
      <c r="J402" s="159" t="s">
        <v>289</v>
      </c>
      <c r="K402" s="160">
        <v>0</v>
      </c>
      <c r="L402" s="141"/>
      <c r="M402" s="161">
        <v>0</v>
      </c>
      <c r="N402" s="161">
        <v>0</v>
      </c>
      <c r="O402" s="161">
        <v>0</v>
      </c>
      <c r="P402" s="161">
        <v>0</v>
      </c>
      <c r="Q402" s="104">
        <f t="shared" si="25"/>
        <v>0</v>
      </c>
      <c r="R402" s="104"/>
      <c r="S402" s="66">
        <f t="shared" si="26"/>
        <v>0</v>
      </c>
    </row>
    <row r="403" spans="1:19" ht="15" x14ac:dyDescent="0.25">
      <c r="A403" s="141" t="s">
        <v>148</v>
      </c>
      <c r="B403" s="141" t="s">
        <v>315</v>
      </c>
      <c r="C403" s="141" t="s">
        <v>163</v>
      </c>
      <c r="D403" s="142" t="s">
        <v>241</v>
      </c>
      <c r="E403" s="158" t="s">
        <v>369</v>
      </c>
      <c r="F403" s="142" t="s">
        <v>142</v>
      </c>
      <c r="G403" s="141">
        <v>101002</v>
      </c>
      <c r="H403" s="141" t="s">
        <v>105</v>
      </c>
      <c r="I403" s="141" t="s">
        <v>247</v>
      </c>
      <c r="J403" s="159" t="s">
        <v>248</v>
      </c>
      <c r="K403" s="160">
        <v>0</v>
      </c>
      <c r="L403" s="141"/>
      <c r="M403" s="161">
        <v>9918.65</v>
      </c>
      <c r="N403" s="161">
        <v>0</v>
      </c>
      <c r="O403" s="161">
        <v>0</v>
      </c>
      <c r="P403" s="161">
        <v>0</v>
      </c>
      <c r="Q403" s="104">
        <f t="shared" si="25"/>
        <v>9918.65</v>
      </c>
      <c r="R403" s="104"/>
      <c r="S403" s="66">
        <f t="shared" si="26"/>
        <v>1131.717965</v>
      </c>
    </row>
    <row r="404" spans="1:19" ht="15" x14ac:dyDescent="0.25">
      <c r="A404" s="141" t="s">
        <v>148</v>
      </c>
      <c r="B404" s="141" t="s">
        <v>315</v>
      </c>
      <c r="C404" s="141" t="s">
        <v>163</v>
      </c>
      <c r="D404" s="142" t="s">
        <v>241</v>
      </c>
      <c r="E404" s="158" t="s">
        <v>369</v>
      </c>
      <c r="F404" s="142" t="s">
        <v>142</v>
      </c>
      <c r="G404" s="141">
        <v>101002</v>
      </c>
      <c r="H404" s="141" t="s">
        <v>105</v>
      </c>
      <c r="I404" s="141" t="s">
        <v>247</v>
      </c>
      <c r="J404" s="159" t="s">
        <v>286</v>
      </c>
      <c r="K404" s="160">
        <v>0</v>
      </c>
      <c r="L404" s="141"/>
      <c r="M404" s="161">
        <v>1449.38</v>
      </c>
      <c r="N404" s="161">
        <v>0</v>
      </c>
      <c r="O404" s="161">
        <v>0</v>
      </c>
      <c r="P404" s="161">
        <v>0</v>
      </c>
      <c r="Q404" s="104">
        <f t="shared" si="25"/>
        <v>1449.38</v>
      </c>
      <c r="R404" s="104"/>
      <c r="S404" s="66">
        <f t="shared" si="26"/>
        <v>165.37425800000003</v>
      </c>
    </row>
    <row r="405" spans="1:19" ht="15" x14ac:dyDescent="0.25">
      <c r="A405" s="141" t="s">
        <v>148</v>
      </c>
      <c r="B405" s="141" t="s">
        <v>315</v>
      </c>
      <c r="C405" s="141" t="s">
        <v>163</v>
      </c>
      <c r="D405" s="142" t="s">
        <v>241</v>
      </c>
      <c r="E405" s="158" t="s">
        <v>369</v>
      </c>
      <c r="F405" s="142" t="s">
        <v>142</v>
      </c>
      <c r="G405" s="141">
        <v>101032</v>
      </c>
      <c r="H405" s="141" t="s">
        <v>362</v>
      </c>
      <c r="I405" s="141" t="s">
        <v>247</v>
      </c>
      <c r="J405" s="159" t="s">
        <v>248</v>
      </c>
      <c r="K405" s="160">
        <v>0</v>
      </c>
      <c r="L405" s="141"/>
      <c r="M405" s="161">
        <v>41.22</v>
      </c>
      <c r="N405" s="161">
        <v>0</v>
      </c>
      <c r="O405" s="161">
        <v>0</v>
      </c>
      <c r="P405" s="161">
        <v>0</v>
      </c>
      <c r="Q405" s="104">
        <f t="shared" si="25"/>
        <v>41.22</v>
      </c>
      <c r="R405" s="104"/>
      <c r="S405" s="66">
        <f t="shared" si="26"/>
        <v>4.7032020000000001</v>
      </c>
    </row>
    <row r="406" spans="1:19" ht="15" x14ac:dyDescent="0.25">
      <c r="A406" s="141" t="s">
        <v>148</v>
      </c>
      <c r="B406" s="141" t="s">
        <v>315</v>
      </c>
      <c r="C406" s="141" t="s">
        <v>163</v>
      </c>
      <c r="D406" s="142" t="s">
        <v>241</v>
      </c>
      <c r="E406" s="158" t="s">
        <v>369</v>
      </c>
      <c r="F406" s="142" t="s">
        <v>142</v>
      </c>
      <c r="G406" s="141">
        <v>101039</v>
      </c>
      <c r="H406" s="141" t="s">
        <v>107</v>
      </c>
      <c r="I406" s="141" t="s">
        <v>247</v>
      </c>
      <c r="J406" s="159" t="s">
        <v>248</v>
      </c>
      <c r="K406" s="160">
        <v>0</v>
      </c>
      <c r="L406" s="141"/>
      <c r="M406" s="161">
        <v>213582.33</v>
      </c>
      <c r="N406" s="161">
        <v>0</v>
      </c>
      <c r="O406" s="161">
        <v>0</v>
      </c>
      <c r="P406" s="161">
        <v>0</v>
      </c>
      <c r="Q406" s="104">
        <f t="shared" si="25"/>
        <v>213582.33</v>
      </c>
      <c r="R406" s="104"/>
      <c r="S406" s="66">
        <f t="shared" si="26"/>
        <v>24369.743853</v>
      </c>
    </row>
    <row r="407" spans="1:19" ht="15" x14ac:dyDescent="0.25">
      <c r="A407" s="141" t="s">
        <v>148</v>
      </c>
      <c r="B407" s="141" t="s">
        <v>315</v>
      </c>
      <c r="C407" s="141" t="s">
        <v>163</v>
      </c>
      <c r="D407" s="142" t="s">
        <v>241</v>
      </c>
      <c r="E407" s="158" t="s">
        <v>369</v>
      </c>
      <c r="F407" s="142" t="s">
        <v>142</v>
      </c>
      <c r="G407" s="141">
        <v>102002</v>
      </c>
      <c r="H407" s="141" t="s">
        <v>108</v>
      </c>
      <c r="I407" s="141" t="s">
        <v>247</v>
      </c>
      <c r="J407" s="159" t="s">
        <v>248</v>
      </c>
      <c r="K407" s="160">
        <v>0</v>
      </c>
      <c r="L407" s="141"/>
      <c r="M407" s="161">
        <v>12460.2</v>
      </c>
      <c r="N407" s="161">
        <v>0</v>
      </c>
      <c r="O407" s="161">
        <v>0</v>
      </c>
      <c r="P407" s="161">
        <v>0</v>
      </c>
      <c r="Q407" s="104">
        <f t="shared" si="25"/>
        <v>12460.2</v>
      </c>
      <c r="R407" s="104"/>
      <c r="S407" s="66">
        <f t="shared" si="26"/>
        <v>1421.7088200000003</v>
      </c>
    </row>
    <row r="408" spans="1:19" ht="15" x14ac:dyDescent="0.25">
      <c r="A408" s="141" t="s">
        <v>148</v>
      </c>
      <c r="B408" s="141" t="s">
        <v>315</v>
      </c>
      <c r="C408" s="141" t="s">
        <v>163</v>
      </c>
      <c r="D408" s="142" t="s">
        <v>241</v>
      </c>
      <c r="E408" s="158" t="s">
        <v>369</v>
      </c>
      <c r="F408" s="142" t="s">
        <v>142</v>
      </c>
      <c r="G408" s="141">
        <v>102002</v>
      </c>
      <c r="H408" s="141" t="s">
        <v>108</v>
      </c>
      <c r="I408" s="141" t="s">
        <v>247</v>
      </c>
      <c r="J408" s="159" t="s">
        <v>286</v>
      </c>
      <c r="K408" s="160">
        <v>0</v>
      </c>
      <c r="L408" s="141"/>
      <c r="M408" s="161">
        <v>36215.56</v>
      </c>
      <c r="N408" s="161">
        <v>0</v>
      </c>
      <c r="O408" s="161">
        <v>0</v>
      </c>
      <c r="P408" s="161">
        <v>0</v>
      </c>
      <c r="Q408" s="104">
        <f t="shared" si="25"/>
        <v>36215.56</v>
      </c>
      <c r="R408" s="104"/>
      <c r="S408" s="66">
        <f t="shared" si="26"/>
        <v>4132.1953960000001</v>
      </c>
    </row>
    <row r="409" spans="1:19" ht="15" x14ac:dyDescent="0.25">
      <c r="A409" s="141" t="s">
        <v>148</v>
      </c>
      <c r="B409" s="141" t="s">
        <v>315</v>
      </c>
      <c r="C409" s="141" t="s">
        <v>163</v>
      </c>
      <c r="D409" s="142" t="s">
        <v>241</v>
      </c>
      <c r="E409" s="158" t="s">
        <v>369</v>
      </c>
      <c r="F409" s="142" t="s">
        <v>142</v>
      </c>
      <c r="G409" s="141">
        <v>102003</v>
      </c>
      <c r="H409" s="141" t="s">
        <v>106</v>
      </c>
      <c r="I409" s="141" t="s">
        <v>247</v>
      </c>
      <c r="J409" s="159" t="s">
        <v>248</v>
      </c>
      <c r="K409" s="160">
        <v>0</v>
      </c>
      <c r="L409" s="141"/>
      <c r="M409" s="161">
        <v>600079.84</v>
      </c>
      <c r="N409" s="161">
        <v>161000</v>
      </c>
      <c r="O409" s="161">
        <v>74000</v>
      </c>
      <c r="P409" s="161">
        <v>235000</v>
      </c>
      <c r="Q409" s="104">
        <f t="shared" si="25"/>
        <v>365079.83999999997</v>
      </c>
      <c r="R409" s="129"/>
      <c r="S409" s="66">
        <f t="shared" si="26"/>
        <v>68469.109744000001</v>
      </c>
    </row>
    <row r="410" spans="1:19" ht="15" x14ac:dyDescent="0.25">
      <c r="A410" s="141" t="s">
        <v>148</v>
      </c>
      <c r="B410" s="141" t="s">
        <v>315</v>
      </c>
      <c r="C410" s="141" t="s">
        <v>163</v>
      </c>
      <c r="D410" s="142" t="s">
        <v>241</v>
      </c>
      <c r="E410" s="158" t="s">
        <v>369</v>
      </c>
      <c r="F410" s="142" t="s">
        <v>142</v>
      </c>
      <c r="G410" s="141">
        <v>102003</v>
      </c>
      <c r="H410" s="141" t="s">
        <v>106</v>
      </c>
      <c r="I410" s="141" t="s">
        <v>247</v>
      </c>
      <c r="J410" s="159" t="s">
        <v>286</v>
      </c>
      <c r="K410" s="160">
        <v>0</v>
      </c>
      <c r="L410" s="141"/>
      <c r="M410" s="161">
        <v>6034.48</v>
      </c>
      <c r="N410" s="161">
        <v>0</v>
      </c>
      <c r="O410" s="161">
        <v>0</v>
      </c>
      <c r="P410" s="161">
        <v>0</v>
      </c>
      <c r="Q410" s="104">
        <f t="shared" si="25"/>
        <v>6034.48</v>
      </c>
      <c r="R410" s="129"/>
      <c r="S410" s="66">
        <f t="shared" si="26"/>
        <v>688.53416800000002</v>
      </c>
    </row>
    <row r="411" spans="1:19" ht="15" x14ac:dyDescent="0.25">
      <c r="A411" s="141" t="s">
        <v>148</v>
      </c>
      <c r="B411" s="141" t="s">
        <v>315</v>
      </c>
      <c r="C411" s="141" t="s">
        <v>163</v>
      </c>
      <c r="D411" s="142" t="s">
        <v>241</v>
      </c>
      <c r="E411" s="158" t="s">
        <v>369</v>
      </c>
      <c r="F411" s="142" t="s">
        <v>142</v>
      </c>
      <c r="G411" s="141">
        <v>102005</v>
      </c>
      <c r="H411" s="141" t="s">
        <v>112</v>
      </c>
      <c r="I411" s="141" t="s">
        <v>247</v>
      </c>
      <c r="J411" s="159" t="s">
        <v>248</v>
      </c>
      <c r="K411" s="160">
        <v>0</v>
      </c>
      <c r="L411" s="141"/>
      <c r="M411" s="161">
        <v>58784.84</v>
      </c>
      <c r="N411" s="161">
        <v>0</v>
      </c>
      <c r="O411" s="161">
        <v>0</v>
      </c>
      <c r="P411" s="161">
        <v>0</v>
      </c>
      <c r="Q411" s="104">
        <f t="shared" si="25"/>
        <v>58784.84</v>
      </c>
      <c r="R411" s="129"/>
      <c r="S411" s="66">
        <f t="shared" si="26"/>
        <v>6707.3502440000002</v>
      </c>
    </row>
    <row r="412" spans="1:19" ht="15" x14ac:dyDescent="0.25">
      <c r="A412" s="141" t="s">
        <v>148</v>
      </c>
      <c r="B412" s="141" t="s">
        <v>315</v>
      </c>
      <c r="C412" s="141" t="s">
        <v>163</v>
      </c>
      <c r="D412" s="142" t="s">
        <v>241</v>
      </c>
      <c r="E412" s="158" t="s">
        <v>369</v>
      </c>
      <c r="F412" s="142" t="s">
        <v>142</v>
      </c>
      <c r="G412" s="141">
        <v>102005</v>
      </c>
      <c r="H412" s="141" t="s">
        <v>112</v>
      </c>
      <c r="I412" s="141" t="s">
        <v>247</v>
      </c>
      <c r="J412" s="159" t="s">
        <v>363</v>
      </c>
      <c r="K412" s="160">
        <v>0</v>
      </c>
      <c r="L412" s="141"/>
      <c r="M412" s="161">
        <v>4594.63</v>
      </c>
      <c r="N412" s="161">
        <v>0</v>
      </c>
      <c r="O412" s="161">
        <v>6000</v>
      </c>
      <c r="P412" s="161">
        <v>6000</v>
      </c>
      <c r="Q412" s="104">
        <f t="shared" si="25"/>
        <v>-1405.37</v>
      </c>
      <c r="R412" s="129"/>
      <c r="S412" s="66">
        <f t="shared" si="26"/>
        <v>524.24728300000004</v>
      </c>
    </row>
    <row r="413" spans="1:19" ht="15" x14ac:dyDescent="0.25">
      <c r="A413" s="141" t="s">
        <v>148</v>
      </c>
      <c r="B413" s="141" t="s">
        <v>315</v>
      </c>
      <c r="C413" s="141" t="s">
        <v>163</v>
      </c>
      <c r="D413" s="142" t="s">
        <v>241</v>
      </c>
      <c r="E413" s="158" t="s">
        <v>369</v>
      </c>
      <c r="F413" s="142" t="s">
        <v>142</v>
      </c>
      <c r="G413" s="141">
        <v>102062</v>
      </c>
      <c r="H413" s="141" t="s">
        <v>113</v>
      </c>
      <c r="I413" s="141" t="s">
        <v>247</v>
      </c>
      <c r="J413" s="159" t="s">
        <v>248</v>
      </c>
      <c r="K413" s="160">
        <v>0</v>
      </c>
      <c r="L413" s="141"/>
      <c r="M413" s="161">
        <v>2921.02</v>
      </c>
      <c r="N413" s="161">
        <v>0</v>
      </c>
      <c r="O413" s="161">
        <v>0</v>
      </c>
      <c r="P413" s="161">
        <v>0</v>
      </c>
      <c r="Q413" s="104">
        <f t="shared" si="25"/>
        <v>2921.02</v>
      </c>
      <c r="R413" s="129"/>
      <c r="S413" s="66">
        <f t="shared" si="26"/>
        <v>333.28838200000001</v>
      </c>
    </row>
    <row r="414" spans="1:19" ht="15" x14ac:dyDescent="0.25">
      <c r="A414" s="141" t="s">
        <v>148</v>
      </c>
      <c r="B414" s="141" t="s">
        <v>315</v>
      </c>
      <c r="C414" s="141" t="s">
        <v>163</v>
      </c>
      <c r="D414" s="142" t="s">
        <v>241</v>
      </c>
      <c r="E414" s="158" t="s">
        <v>369</v>
      </c>
      <c r="F414" s="142" t="s">
        <v>142</v>
      </c>
      <c r="G414" s="141">
        <v>103001</v>
      </c>
      <c r="H414" s="141" t="s">
        <v>109</v>
      </c>
      <c r="I414" s="141" t="s">
        <v>247</v>
      </c>
      <c r="J414" s="159" t="s">
        <v>248</v>
      </c>
      <c r="K414" s="160">
        <v>0</v>
      </c>
      <c r="L414" s="141"/>
      <c r="M414" s="161">
        <v>92530.48</v>
      </c>
      <c r="N414" s="161">
        <v>0</v>
      </c>
      <c r="O414" s="161">
        <v>20000</v>
      </c>
      <c r="P414" s="161">
        <v>20000</v>
      </c>
      <c r="Q414" s="104">
        <f t="shared" si="25"/>
        <v>72530.48</v>
      </c>
      <c r="R414" s="104"/>
      <c r="S414" s="66">
        <f t="shared" si="26"/>
        <v>10557.727768000001</v>
      </c>
    </row>
    <row r="415" spans="1:19" ht="15" x14ac:dyDescent="0.25">
      <c r="A415" s="141" t="s">
        <v>148</v>
      </c>
      <c r="B415" s="141" t="s">
        <v>315</v>
      </c>
      <c r="C415" s="141" t="s">
        <v>163</v>
      </c>
      <c r="D415" s="142" t="s">
        <v>241</v>
      </c>
      <c r="E415" s="158" t="s">
        <v>369</v>
      </c>
      <c r="F415" s="142" t="s">
        <v>142</v>
      </c>
      <c r="G415" s="141">
        <v>103001</v>
      </c>
      <c r="H415" s="141" t="s">
        <v>109</v>
      </c>
      <c r="I415" s="141" t="s">
        <v>247</v>
      </c>
      <c r="J415" s="159" t="s">
        <v>289</v>
      </c>
      <c r="K415" s="160">
        <v>0</v>
      </c>
      <c r="L415" s="141"/>
      <c r="M415" s="161">
        <v>0</v>
      </c>
      <c r="N415" s="161">
        <v>0</v>
      </c>
      <c r="O415" s="161">
        <v>0</v>
      </c>
      <c r="P415" s="161">
        <v>0</v>
      </c>
      <c r="Q415" s="104">
        <f t="shared" si="25"/>
        <v>0</v>
      </c>
      <c r="R415" s="104"/>
      <c r="S415" s="66">
        <f t="shared" si="26"/>
        <v>0</v>
      </c>
    </row>
    <row r="416" spans="1:19" ht="15" x14ac:dyDescent="0.25">
      <c r="A416" s="141" t="s">
        <v>148</v>
      </c>
      <c r="B416" s="141" t="s">
        <v>315</v>
      </c>
      <c r="C416" s="141" t="s">
        <v>163</v>
      </c>
      <c r="D416" s="142" t="s">
        <v>241</v>
      </c>
      <c r="E416" s="158" t="s">
        <v>369</v>
      </c>
      <c r="F416" s="142" t="s">
        <v>142</v>
      </c>
      <c r="G416" s="141">
        <v>103001</v>
      </c>
      <c r="H416" s="141" t="s">
        <v>109</v>
      </c>
      <c r="I416" s="141" t="s">
        <v>247</v>
      </c>
      <c r="J416" s="159" t="s">
        <v>286</v>
      </c>
      <c r="K416" s="160">
        <v>0</v>
      </c>
      <c r="L416" s="141"/>
      <c r="M416" s="161">
        <v>57782.559999999998</v>
      </c>
      <c r="N416" s="161">
        <v>0</v>
      </c>
      <c r="O416" s="161">
        <v>0</v>
      </c>
      <c r="P416" s="161">
        <v>0</v>
      </c>
      <c r="Q416" s="104">
        <f t="shared" si="25"/>
        <v>57782.559999999998</v>
      </c>
      <c r="R416" s="129"/>
      <c r="S416" s="66">
        <f t="shared" si="26"/>
        <v>6592.9900960000004</v>
      </c>
    </row>
    <row r="417" spans="1:19" ht="15" x14ac:dyDescent="0.25">
      <c r="A417" s="141" t="s">
        <v>148</v>
      </c>
      <c r="B417" s="141" t="s">
        <v>315</v>
      </c>
      <c r="C417" s="141" t="s">
        <v>163</v>
      </c>
      <c r="D417" s="142" t="s">
        <v>241</v>
      </c>
      <c r="E417" s="158" t="s">
        <v>369</v>
      </c>
      <c r="F417" s="142" t="s">
        <v>142</v>
      </c>
      <c r="G417" s="141">
        <v>103002</v>
      </c>
      <c r="H417" s="141" t="s">
        <v>115</v>
      </c>
      <c r="I417" s="141" t="s">
        <v>247</v>
      </c>
      <c r="J417" s="159" t="s">
        <v>248</v>
      </c>
      <c r="K417" s="160">
        <v>0</v>
      </c>
      <c r="L417" s="141"/>
      <c r="M417" s="161">
        <v>7229.38</v>
      </c>
      <c r="N417" s="161">
        <v>0</v>
      </c>
      <c r="O417" s="161">
        <v>0</v>
      </c>
      <c r="P417" s="161">
        <v>0</v>
      </c>
      <c r="Q417" s="104">
        <f t="shared" si="25"/>
        <v>7229.38</v>
      </c>
      <c r="R417" s="104"/>
      <c r="S417" s="66">
        <f t="shared" si="26"/>
        <v>824.8722580000001</v>
      </c>
    </row>
    <row r="418" spans="1:19" ht="15" x14ac:dyDescent="0.25">
      <c r="A418" s="141" t="s">
        <v>148</v>
      </c>
      <c r="B418" s="141" t="s">
        <v>315</v>
      </c>
      <c r="C418" s="141" t="s">
        <v>163</v>
      </c>
      <c r="D418" s="142" t="s">
        <v>241</v>
      </c>
      <c r="E418" s="158" t="s">
        <v>369</v>
      </c>
      <c r="F418" s="142" t="s">
        <v>142</v>
      </c>
      <c r="G418" s="141">
        <v>103062</v>
      </c>
      <c r="H418" s="141" t="s">
        <v>114</v>
      </c>
      <c r="I418" s="141" t="s">
        <v>247</v>
      </c>
      <c r="J418" s="159" t="s">
        <v>248</v>
      </c>
      <c r="K418" s="160">
        <v>0</v>
      </c>
      <c r="L418" s="141"/>
      <c r="M418" s="161">
        <v>1349.62</v>
      </c>
      <c r="N418" s="161">
        <v>0</v>
      </c>
      <c r="O418" s="161">
        <v>0</v>
      </c>
      <c r="P418" s="161">
        <v>0</v>
      </c>
      <c r="Q418" s="104">
        <f t="shared" si="25"/>
        <v>1349.62</v>
      </c>
      <c r="R418" s="104"/>
      <c r="S418" s="66">
        <f t="shared" si="26"/>
        <v>153.99164199999998</v>
      </c>
    </row>
    <row r="419" spans="1:19" ht="15" x14ac:dyDescent="0.25">
      <c r="A419" s="141" t="s">
        <v>148</v>
      </c>
      <c r="B419" s="141" t="s">
        <v>315</v>
      </c>
      <c r="C419" s="141" t="s">
        <v>163</v>
      </c>
      <c r="D419" s="142" t="s">
        <v>241</v>
      </c>
      <c r="E419" s="158" t="s">
        <v>369</v>
      </c>
      <c r="F419" s="142" t="s">
        <v>142</v>
      </c>
      <c r="G419" s="141">
        <v>103069</v>
      </c>
      <c r="H419" s="141" t="s">
        <v>214</v>
      </c>
      <c r="I419" s="141" t="s">
        <v>247</v>
      </c>
      <c r="J419" s="159" t="s">
        <v>248</v>
      </c>
      <c r="K419" s="160">
        <v>0</v>
      </c>
      <c r="L419" s="141"/>
      <c r="M419" s="161">
        <v>12846.58</v>
      </c>
      <c r="N419" s="161">
        <v>0</v>
      </c>
      <c r="O419" s="161">
        <v>0</v>
      </c>
      <c r="P419" s="161">
        <v>0</v>
      </c>
      <c r="Q419" s="104">
        <f t="shared" si="25"/>
        <v>12846.58</v>
      </c>
      <c r="R419" s="104"/>
      <c r="S419" s="66">
        <f t="shared" si="26"/>
        <v>1465.7947780000002</v>
      </c>
    </row>
    <row r="420" spans="1:19" ht="15" x14ac:dyDescent="0.25">
      <c r="A420" s="141" t="s">
        <v>148</v>
      </c>
      <c r="B420" s="141" t="s">
        <v>315</v>
      </c>
      <c r="C420" s="141" t="s">
        <v>163</v>
      </c>
      <c r="D420" s="142" t="s">
        <v>241</v>
      </c>
      <c r="E420" s="158" t="s">
        <v>369</v>
      </c>
      <c r="F420" s="142" t="s">
        <v>142</v>
      </c>
      <c r="G420" s="141">
        <v>104000</v>
      </c>
      <c r="H420" s="141" t="s">
        <v>110</v>
      </c>
      <c r="I420" s="141" t="s">
        <v>247</v>
      </c>
      <c r="J420" s="159" t="s">
        <v>248</v>
      </c>
      <c r="K420" s="160">
        <v>0</v>
      </c>
      <c r="L420" s="141"/>
      <c r="M420" s="161">
        <v>38561.769999999997</v>
      </c>
      <c r="N420" s="161">
        <v>62000</v>
      </c>
      <c r="O420" s="161">
        <v>3000</v>
      </c>
      <c r="P420" s="161">
        <v>65000</v>
      </c>
      <c r="Q420" s="104">
        <f t="shared" si="25"/>
        <v>-26438.230000000003</v>
      </c>
      <c r="R420" s="104"/>
      <c r="S420" s="66">
        <f t="shared" si="26"/>
        <v>4399.8979570000001</v>
      </c>
    </row>
    <row r="421" spans="1:19" ht="15" x14ac:dyDescent="0.25">
      <c r="A421" s="141" t="s">
        <v>148</v>
      </c>
      <c r="B421" s="141" t="s">
        <v>315</v>
      </c>
      <c r="C421" s="141" t="s">
        <v>163</v>
      </c>
      <c r="D421" s="142" t="s">
        <v>241</v>
      </c>
      <c r="E421" s="158" t="s">
        <v>369</v>
      </c>
      <c r="F421" s="142" t="s">
        <v>142</v>
      </c>
      <c r="G421" s="141">
        <v>105003</v>
      </c>
      <c r="H421" s="141" t="s">
        <v>268</v>
      </c>
      <c r="I421" s="141" t="s">
        <v>247</v>
      </c>
      <c r="J421" s="159" t="s">
        <v>248</v>
      </c>
      <c r="K421" s="160">
        <v>0</v>
      </c>
      <c r="L421" s="141"/>
      <c r="M421" s="163">
        <v>233346.24</v>
      </c>
      <c r="N421" s="161">
        <v>0</v>
      </c>
      <c r="O421" s="161">
        <v>0</v>
      </c>
      <c r="P421" s="161">
        <v>0</v>
      </c>
      <c r="Q421" s="104">
        <f t="shared" si="25"/>
        <v>233346.24</v>
      </c>
      <c r="R421" s="104"/>
      <c r="S421" s="66">
        <f t="shared" si="26"/>
        <v>26624.805983999999</v>
      </c>
    </row>
    <row r="422" spans="1:19" ht="15" x14ac:dyDescent="0.25">
      <c r="A422" s="141" t="s">
        <v>148</v>
      </c>
      <c r="B422" s="141" t="s">
        <v>315</v>
      </c>
      <c r="C422" s="141" t="s">
        <v>163</v>
      </c>
      <c r="D422" s="142" t="s">
        <v>241</v>
      </c>
      <c r="E422" s="158" t="s">
        <v>369</v>
      </c>
      <c r="F422" s="142" t="s">
        <v>142</v>
      </c>
      <c r="G422" s="141">
        <v>105010</v>
      </c>
      <c r="H422" s="141" t="s">
        <v>118</v>
      </c>
      <c r="I422" s="141" t="s">
        <v>247</v>
      </c>
      <c r="J422" s="159" t="s">
        <v>248</v>
      </c>
      <c r="K422" s="160">
        <v>0</v>
      </c>
      <c r="L422" s="141"/>
      <c r="M422" s="161">
        <v>541.01</v>
      </c>
      <c r="N422" s="161">
        <v>0</v>
      </c>
      <c r="O422" s="161">
        <v>0</v>
      </c>
      <c r="P422" s="161">
        <v>0</v>
      </c>
      <c r="Q422" s="104">
        <f t="shared" si="25"/>
        <v>541.01</v>
      </c>
      <c r="R422" s="104"/>
      <c r="S422" s="66">
        <f t="shared" si="26"/>
        <v>61.729241000000002</v>
      </c>
    </row>
    <row r="423" spans="1:19" ht="15" x14ac:dyDescent="0.25">
      <c r="A423" s="141" t="s">
        <v>148</v>
      </c>
      <c r="B423" s="141" t="s">
        <v>315</v>
      </c>
      <c r="C423" s="141" t="s">
        <v>163</v>
      </c>
      <c r="D423" s="142" t="s">
        <v>241</v>
      </c>
      <c r="E423" s="158" t="s">
        <v>369</v>
      </c>
      <c r="F423" s="142" t="s">
        <v>142</v>
      </c>
      <c r="G423" s="141">
        <v>105019</v>
      </c>
      <c r="H423" s="141" t="s">
        <v>111</v>
      </c>
      <c r="I423" s="141" t="s">
        <v>247</v>
      </c>
      <c r="J423" s="159" t="s">
        <v>248</v>
      </c>
      <c r="K423" s="160">
        <v>0</v>
      </c>
      <c r="L423" s="141"/>
      <c r="M423" s="161">
        <v>2073.54</v>
      </c>
      <c r="N423" s="161">
        <v>0</v>
      </c>
      <c r="O423" s="161">
        <v>0</v>
      </c>
      <c r="P423" s="161">
        <v>0</v>
      </c>
      <c r="Q423" s="104">
        <f t="shared" si="25"/>
        <v>2073.54</v>
      </c>
      <c r="R423" s="104"/>
      <c r="S423" s="66">
        <f t="shared" si="26"/>
        <v>236.59091400000003</v>
      </c>
    </row>
    <row r="424" spans="1:19" ht="15" x14ac:dyDescent="0.25">
      <c r="A424" s="141" t="s">
        <v>148</v>
      </c>
      <c r="B424" s="141" t="s">
        <v>315</v>
      </c>
      <c r="C424" s="141" t="s">
        <v>163</v>
      </c>
      <c r="D424" s="142" t="s">
        <v>241</v>
      </c>
      <c r="E424" s="158" t="s">
        <v>369</v>
      </c>
      <c r="F424" s="142" t="s">
        <v>142</v>
      </c>
      <c r="G424" s="141">
        <v>105098</v>
      </c>
      <c r="H424" s="141" t="s">
        <v>265</v>
      </c>
      <c r="I424" s="141" t="s">
        <v>247</v>
      </c>
      <c r="J424" s="159" t="s">
        <v>302</v>
      </c>
      <c r="K424" s="160">
        <v>0</v>
      </c>
      <c r="L424" s="141"/>
      <c r="M424" s="161">
        <v>-4392</v>
      </c>
      <c r="N424" s="161">
        <v>0</v>
      </c>
      <c r="O424" s="161">
        <v>0</v>
      </c>
      <c r="P424" s="161">
        <v>0</v>
      </c>
      <c r="Q424" s="104">
        <f t="shared" si="25"/>
        <v>-4392</v>
      </c>
      <c r="R424" s="104"/>
      <c r="S424" s="66">
        <f t="shared" si="26"/>
        <v>-501.12720000000007</v>
      </c>
    </row>
    <row r="425" spans="1:19" ht="15" x14ac:dyDescent="0.25">
      <c r="A425" s="141" t="s">
        <v>148</v>
      </c>
      <c r="B425" s="141" t="s">
        <v>315</v>
      </c>
      <c r="C425" s="141" t="s">
        <v>163</v>
      </c>
      <c r="D425" s="142" t="s">
        <v>241</v>
      </c>
      <c r="E425" s="158" t="s">
        <v>369</v>
      </c>
      <c r="F425" s="142" t="s">
        <v>142</v>
      </c>
      <c r="G425" s="141">
        <v>105099</v>
      </c>
      <c r="H425" s="141" t="s">
        <v>103</v>
      </c>
      <c r="I425" s="141" t="s">
        <v>247</v>
      </c>
      <c r="J425" s="159" t="s">
        <v>303</v>
      </c>
      <c r="K425" s="160">
        <v>0</v>
      </c>
      <c r="L425" s="141"/>
      <c r="M425" s="161">
        <v>4392</v>
      </c>
      <c r="N425" s="161">
        <v>0</v>
      </c>
      <c r="O425" s="161">
        <v>0</v>
      </c>
      <c r="P425" s="161">
        <v>0</v>
      </c>
      <c r="Q425" s="104">
        <f t="shared" si="25"/>
        <v>4392</v>
      </c>
      <c r="R425" s="104"/>
      <c r="S425" s="66">
        <f t="shared" si="26"/>
        <v>501.12720000000007</v>
      </c>
    </row>
    <row r="426" spans="1:19" ht="15" x14ac:dyDescent="0.25">
      <c r="A426" s="141" t="s">
        <v>148</v>
      </c>
      <c r="B426" s="141" t="s">
        <v>315</v>
      </c>
      <c r="C426" s="141" t="s">
        <v>163</v>
      </c>
      <c r="D426" s="142" t="s">
        <v>241</v>
      </c>
      <c r="E426" s="158" t="s">
        <v>369</v>
      </c>
      <c r="F426" s="142" t="s">
        <v>142</v>
      </c>
      <c r="G426" s="144">
        <v>109001</v>
      </c>
      <c r="H426" s="141" t="s">
        <v>101</v>
      </c>
      <c r="I426" s="141" t="s">
        <v>247</v>
      </c>
      <c r="J426" s="159" t="s">
        <v>248</v>
      </c>
      <c r="K426" s="160">
        <v>0</v>
      </c>
      <c r="L426" s="141"/>
      <c r="M426" s="161">
        <v>829735.65</v>
      </c>
      <c r="N426" s="161">
        <v>734000</v>
      </c>
      <c r="O426" s="161">
        <v>31000</v>
      </c>
      <c r="P426" s="161">
        <v>765000</v>
      </c>
      <c r="Q426" s="104">
        <f t="shared" si="25"/>
        <v>64735.650000000023</v>
      </c>
      <c r="R426" s="129">
        <f t="shared" ref="R426:R429" si="28">M426*-1.141</f>
        <v>-946728.37664999999</v>
      </c>
    </row>
    <row r="427" spans="1:19" ht="15" x14ac:dyDescent="0.25">
      <c r="A427" s="141" t="s">
        <v>148</v>
      </c>
      <c r="B427" s="141" t="s">
        <v>315</v>
      </c>
      <c r="C427" s="141" t="s">
        <v>163</v>
      </c>
      <c r="D427" s="142" t="s">
        <v>241</v>
      </c>
      <c r="E427" s="158" t="s">
        <v>369</v>
      </c>
      <c r="F427" s="142" t="s">
        <v>142</v>
      </c>
      <c r="G427" s="144">
        <v>109001</v>
      </c>
      <c r="H427" s="141" t="s">
        <v>101</v>
      </c>
      <c r="I427" s="141" t="s">
        <v>247</v>
      </c>
      <c r="J427" s="159" t="s">
        <v>289</v>
      </c>
      <c r="K427" s="160">
        <v>0</v>
      </c>
      <c r="L427" s="141"/>
      <c r="M427" s="161">
        <v>0</v>
      </c>
      <c r="N427" s="161">
        <v>0</v>
      </c>
      <c r="O427" s="161">
        <v>0</v>
      </c>
      <c r="P427" s="161">
        <v>0</v>
      </c>
      <c r="Q427" s="104">
        <f t="shared" si="25"/>
        <v>0</v>
      </c>
      <c r="R427" s="129">
        <f t="shared" si="28"/>
        <v>0</v>
      </c>
    </row>
    <row r="428" spans="1:19" ht="15" x14ac:dyDescent="0.25">
      <c r="A428" s="141" t="s">
        <v>148</v>
      </c>
      <c r="B428" s="141" t="s">
        <v>315</v>
      </c>
      <c r="C428" s="141" t="s">
        <v>163</v>
      </c>
      <c r="D428" s="142" t="s">
        <v>241</v>
      </c>
      <c r="E428" s="158" t="s">
        <v>369</v>
      </c>
      <c r="F428" s="142" t="s">
        <v>142</v>
      </c>
      <c r="G428" s="144">
        <v>109001</v>
      </c>
      <c r="H428" s="141" t="s">
        <v>101</v>
      </c>
      <c r="I428" s="141" t="s">
        <v>247</v>
      </c>
      <c r="J428" s="159" t="s">
        <v>286</v>
      </c>
      <c r="K428" s="160">
        <v>0</v>
      </c>
      <c r="L428" s="141"/>
      <c r="M428" s="161">
        <v>9620.33</v>
      </c>
      <c r="N428" s="161">
        <v>0</v>
      </c>
      <c r="O428" s="161">
        <v>0</v>
      </c>
      <c r="P428" s="161">
        <v>0</v>
      </c>
      <c r="Q428" s="104">
        <f t="shared" si="25"/>
        <v>9620.33</v>
      </c>
      <c r="R428" s="129">
        <f t="shared" si="28"/>
        <v>-10976.79653</v>
      </c>
    </row>
    <row r="429" spans="1:19" ht="15" x14ac:dyDescent="0.25">
      <c r="A429" s="141" t="s">
        <v>148</v>
      </c>
      <c r="B429" s="141" t="s">
        <v>315</v>
      </c>
      <c r="C429" s="141" t="s">
        <v>163</v>
      </c>
      <c r="D429" s="142" t="s">
        <v>241</v>
      </c>
      <c r="E429" s="158" t="s">
        <v>369</v>
      </c>
      <c r="F429" s="142" t="s">
        <v>142</v>
      </c>
      <c r="G429" s="144">
        <v>109001</v>
      </c>
      <c r="H429" s="141" t="s">
        <v>101</v>
      </c>
      <c r="I429" s="141" t="s">
        <v>247</v>
      </c>
      <c r="J429" s="159" t="s">
        <v>363</v>
      </c>
      <c r="K429" s="160">
        <v>0</v>
      </c>
      <c r="L429" s="141"/>
      <c r="M429" s="161">
        <v>435.37</v>
      </c>
      <c r="N429" s="161">
        <v>0</v>
      </c>
      <c r="O429" s="161">
        <v>0</v>
      </c>
      <c r="P429" s="161">
        <v>0</v>
      </c>
      <c r="Q429" s="104">
        <f t="shared" si="25"/>
        <v>435.37</v>
      </c>
      <c r="R429" s="129">
        <f t="shared" si="28"/>
        <v>-496.75717000000003</v>
      </c>
    </row>
    <row r="430" spans="1:19" ht="15" x14ac:dyDescent="0.25">
      <c r="A430" s="141" t="s">
        <v>148</v>
      </c>
      <c r="B430" s="141" t="s">
        <v>315</v>
      </c>
      <c r="C430" s="141" t="s">
        <v>163</v>
      </c>
      <c r="D430" s="142" t="s">
        <v>241</v>
      </c>
      <c r="E430" s="158" t="s">
        <v>369</v>
      </c>
      <c r="F430" s="142" t="s">
        <v>142</v>
      </c>
      <c r="G430" s="144">
        <v>109901</v>
      </c>
      <c r="H430" s="141" t="s">
        <v>102</v>
      </c>
      <c r="I430" s="141" t="s">
        <v>247</v>
      </c>
      <c r="J430" s="159" t="s">
        <v>248</v>
      </c>
      <c r="K430" s="160">
        <v>0</v>
      </c>
      <c r="L430" s="141"/>
      <c r="M430" s="161">
        <v>1250230.83</v>
      </c>
      <c r="N430" s="161">
        <v>1206000</v>
      </c>
      <c r="O430" s="161">
        <v>50000</v>
      </c>
      <c r="P430" s="161">
        <v>1256000</v>
      </c>
      <c r="Q430" s="104">
        <f t="shared" si="25"/>
        <v>-5769.1699999999255</v>
      </c>
      <c r="R430" s="104"/>
    </row>
    <row r="431" spans="1:19" ht="15" x14ac:dyDescent="0.25">
      <c r="A431" s="141" t="s">
        <v>148</v>
      </c>
      <c r="B431" s="141" t="s">
        <v>315</v>
      </c>
      <c r="C431" s="141" t="s">
        <v>163</v>
      </c>
      <c r="D431" s="142" t="s">
        <v>241</v>
      </c>
      <c r="E431" s="158" t="s">
        <v>369</v>
      </c>
      <c r="F431" s="142" t="s">
        <v>142</v>
      </c>
      <c r="G431" s="144">
        <v>109901</v>
      </c>
      <c r="H431" s="141" t="s">
        <v>102</v>
      </c>
      <c r="I431" s="141" t="s">
        <v>247</v>
      </c>
      <c r="J431" s="159" t="s">
        <v>303</v>
      </c>
      <c r="K431" s="160">
        <v>0</v>
      </c>
      <c r="L431" s="141"/>
      <c r="M431" s="161">
        <v>619.32000000000005</v>
      </c>
      <c r="N431" s="161">
        <v>0</v>
      </c>
      <c r="O431" s="161">
        <v>0</v>
      </c>
      <c r="P431" s="161">
        <v>0</v>
      </c>
      <c r="Q431" s="104">
        <f t="shared" si="25"/>
        <v>619.32000000000005</v>
      </c>
      <c r="R431" s="104"/>
    </row>
    <row r="432" spans="1:19" ht="15" x14ac:dyDescent="0.25">
      <c r="A432" s="141" t="s">
        <v>148</v>
      </c>
      <c r="B432" s="141" t="s">
        <v>315</v>
      </c>
      <c r="C432" s="141" t="s">
        <v>163</v>
      </c>
      <c r="D432" s="142" t="s">
        <v>241</v>
      </c>
      <c r="E432" s="158" t="s">
        <v>369</v>
      </c>
      <c r="F432" s="142" t="s">
        <v>142</v>
      </c>
      <c r="G432" s="144">
        <v>109901</v>
      </c>
      <c r="H432" s="141" t="s">
        <v>102</v>
      </c>
      <c r="I432" s="141" t="s">
        <v>247</v>
      </c>
      <c r="J432" s="159" t="s">
        <v>289</v>
      </c>
      <c r="K432" s="160">
        <v>0</v>
      </c>
      <c r="L432" s="141"/>
      <c r="M432" s="161">
        <v>0</v>
      </c>
      <c r="N432" s="161">
        <v>0</v>
      </c>
      <c r="O432" s="161">
        <v>0</v>
      </c>
      <c r="P432" s="161">
        <v>0</v>
      </c>
      <c r="Q432" s="104">
        <f t="shared" si="25"/>
        <v>0</v>
      </c>
      <c r="R432" s="104"/>
    </row>
    <row r="433" spans="1:19" ht="15" x14ac:dyDescent="0.25">
      <c r="A433" s="141" t="s">
        <v>148</v>
      </c>
      <c r="B433" s="141" t="s">
        <v>315</v>
      </c>
      <c r="C433" s="141" t="s">
        <v>163</v>
      </c>
      <c r="D433" s="142" t="s">
        <v>241</v>
      </c>
      <c r="E433" s="158" t="s">
        <v>369</v>
      </c>
      <c r="F433" s="142" t="s">
        <v>142</v>
      </c>
      <c r="G433" s="144">
        <v>109901</v>
      </c>
      <c r="H433" s="141" t="s">
        <v>102</v>
      </c>
      <c r="I433" s="141" t="s">
        <v>247</v>
      </c>
      <c r="J433" s="159" t="s">
        <v>286</v>
      </c>
      <c r="K433" s="160">
        <v>0</v>
      </c>
      <c r="L433" s="141"/>
      <c r="M433" s="161">
        <v>15665.49</v>
      </c>
      <c r="N433" s="161">
        <v>0</v>
      </c>
      <c r="O433" s="161">
        <v>0</v>
      </c>
      <c r="P433" s="161">
        <v>0</v>
      </c>
      <c r="Q433" s="104">
        <f t="shared" si="25"/>
        <v>15665.49</v>
      </c>
      <c r="R433" s="104"/>
    </row>
    <row r="434" spans="1:19" ht="15" x14ac:dyDescent="0.25">
      <c r="A434" s="141" t="s">
        <v>148</v>
      </c>
      <c r="B434" s="141" t="s">
        <v>315</v>
      </c>
      <c r="C434" s="141" t="s">
        <v>163</v>
      </c>
      <c r="D434" s="142" t="s">
        <v>241</v>
      </c>
      <c r="E434" s="158" t="s">
        <v>369</v>
      </c>
      <c r="F434" s="142" t="s">
        <v>142</v>
      </c>
      <c r="G434" s="144">
        <v>109901</v>
      </c>
      <c r="H434" s="141" t="s">
        <v>102</v>
      </c>
      <c r="I434" s="141" t="s">
        <v>247</v>
      </c>
      <c r="J434" s="159" t="s">
        <v>363</v>
      </c>
      <c r="K434" s="160">
        <v>0</v>
      </c>
      <c r="L434" s="141"/>
      <c r="M434" s="161">
        <v>709.23</v>
      </c>
      <c r="N434" s="161">
        <v>0</v>
      </c>
      <c r="O434" s="161">
        <v>0</v>
      </c>
      <c r="P434" s="161">
        <v>0</v>
      </c>
      <c r="Q434" s="104">
        <f t="shared" si="25"/>
        <v>709.23</v>
      </c>
      <c r="R434" s="104"/>
    </row>
    <row r="435" spans="1:19" ht="15" x14ac:dyDescent="0.25">
      <c r="A435" s="141" t="s">
        <v>148</v>
      </c>
      <c r="B435" s="141" t="s">
        <v>316</v>
      </c>
      <c r="C435" s="141" t="s">
        <v>61</v>
      </c>
      <c r="D435" s="142" t="s">
        <v>241</v>
      </c>
      <c r="E435" s="158" t="s">
        <v>369</v>
      </c>
      <c r="F435" s="142" t="s">
        <v>142</v>
      </c>
      <c r="G435" s="141">
        <v>101001</v>
      </c>
      <c r="H435" s="141" t="s">
        <v>104</v>
      </c>
      <c r="I435" s="141" t="s">
        <v>247</v>
      </c>
      <c r="J435" s="159" t="s">
        <v>248</v>
      </c>
      <c r="K435" s="160">
        <v>0</v>
      </c>
      <c r="L435" s="141"/>
      <c r="M435" s="161">
        <v>5697000.0499999998</v>
      </c>
      <c r="N435" s="161">
        <v>5875000</v>
      </c>
      <c r="O435" s="161">
        <v>25000</v>
      </c>
      <c r="P435" s="161">
        <v>5900000</v>
      </c>
      <c r="Q435" s="104">
        <f t="shared" si="25"/>
        <v>-202999.95000000019</v>
      </c>
      <c r="R435" s="104"/>
      <c r="S435" s="66">
        <f t="shared" si="26"/>
        <v>650027.70570499997</v>
      </c>
    </row>
    <row r="436" spans="1:19" ht="15" x14ac:dyDescent="0.25">
      <c r="A436" s="141" t="s">
        <v>148</v>
      </c>
      <c r="B436" s="141" t="s">
        <v>316</v>
      </c>
      <c r="C436" s="141" t="s">
        <v>61</v>
      </c>
      <c r="D436" s="142" t="s">
        <v>241</v>
      </c>
      <c r="E436" s="158" t="s">
        <v>369</v>
      </c>
      <c r="F436" s="142" t="s">
        <v>142</v>
      </c>
      <c r="G436" s="141">
        <v>101001</v>
      </c>
      <c r="H436" s="141" t="s">
        <v>104</v>
      </c>
      <c r="I436" s="141" t="s">
        <v>247</v>
      </c>
      <c r="J436" s="159" t="s">
        <v>289</v>
      </c>
      <c r="K436" s="160">
        <v>0</v>
      </c>
      <c r="L436" s="141"/>
      <c r="M436" s="161">
        <v>0</v>
      </c>
      <c r="N436" s="161">
        <v>0</v>
      </c>
      <c r="O436" s="161">
        <v>0</v>
      </c>
      <c r="P436" s="161">
        <v>0</v>
      </c>
      <c r="Q436" s="104">
        <f t="shared" si="25"/>
        <v>0</v>
      </c>
      <c r="R436" s="104"/>
      <c r="S436" s="66">
        <f t="shared" si="26"/>
        <v>0</v>
      </c>
    </row>
    <row r="437" spans="1:19" ht="15" x14ac:dyDescent="0.25">
      <c r="A437" s="141" t="s">
        <v>148</v>
      </c>
      <c r="B437" s="141" t="s">
        <v>316</v>
      </c>
      <c r="C437" s="141" t="s">
        <v>61</v>
      </c>
      <c r="D437" s="142" t="s">
        <v>241</v>
      </c>
      <c r="E437" s="158" t="s">
        <v>369</v>
      </c>
      <c r="F437" s="142" t="s">
        <v>142</v>
      </c>
      <c r="G437" s="141">
        <v>101002</v>
      </c>
      <c r="H437" s="141" t="s">
        <v>105</v>
      </c>
      <c r="I437" s="141" t="s">
        <v>247</v>
      </c>
      <c r="J437" s="159" t="s">
        <v>248</v>
      </c>
      <c r="K437" s="160">
        <v>0</v>
      </c>
      <c r="L437" s="141"/>
      <c r="M437" s="161">
        <v>123930.65</v>
      </c>
      <c r="N437" s="161">
        <v>37000</v>
      </c>
      <c r="O437" s="161">
        <v>4000</v>
      </c>
      <c r="P437" s="161">
        <v>41000</v>
      </c>
      <c r="Q437" s="104">
        <f t="shared" si="25"/>
        <v>82930.649999999994</v>
      </c>
      <c r="R437" s="104"/>
      <c r="S437" s="66">
        <f t="shared" si="26"/>
        <v>14140.487165</v>
      </c>
    </row>
    <row r="438" spans="1:19" ht="15" x14ac:dyDescent="0.25">
      <c r="A438" s="141" t="s">
        <v>148</v>
      </c>
      <c r="B438" s="141" t="s">
        <v>316</v>
      </c>
      <c r="C438" s="141" t="s">
        <v>61</v>
      </c>
      <c r="D438" s="142" t="s">
        <v>241</v>
      </c>
      <c r="E438" s="158" t="s">
        <v>369</v>
      </c>
      <c r="F438" s="142" t="s">
        <v>142</v>
      </c>
      <c r="G438" s="141">
        <v>101002</v>
      </c>
      <c r="H438" s="141" t="s">
        <v>105</v>
      </c>
      <c r="I438" s="141" t="s">
        <v>247</v>
      </c>
      <c r="J438" s="159" t="s">
        <v>297</v>
      </c>
      <c r="K438" s="160">
        <v>0</v>
      </c>
      <c r="L438" s="141"/>
      <c r="M438" s="161">
        <v>9754.61</v>
      </c>
      <c r="N438" s="161">
        <v>0</v>
      </c>
      <c r="O438" s="161">
        <v>0</v>
      </c>
      <c r="P438" s="161">
        <v>0</v>
      </c>
      <c r="Q438" s="104">
        <f t="shared" si="25"/>
        <v>9754.61</v>
      </c>
      <c r="R438" s="104"/>
      <c r="S438" s="66">
        <f t="shared" si="26"/>
        <v>1113.0010010000001</v>
      </c>
    </row>
    <row r="439" spans="1:19" ht="15" x14ac:dyDescent="0.25">
      <c r="A439" s="141" t="s">
        <v>148</v>
      </c>
      <c r="B439" s="141" t="s">
        <v>316</v>
      </c>
      <c r="C439" s="141" t="s">
        <v>61</v>
      </c>
      <c r="D439" s="142" t="s">
        <v>241</v>
      </c>
      <c r="E439" s="158" t="s">
        <v>369</v>
      </c>
      <c r="F439" s="142" t="s">
        <v>142</v>
      </c>
      <c r="G439" s="141">
        <v>101002</v>
      </c>
      <c r="H439" s="141" t="s">
        <v>105</v>
      </c>
      <c r="I439" s="141" t="s">
        <v>247</v>
      </c>
      <c r="J439" s="159" t="s">
        <v>286</v>
      </c>
      <c r="K439" s="160">
        <v>0</v>
      </c>
      <c r="L439" s="141"/>
      <c r="M439" s="161">
        <v>3771.86</v>
      </c>
      <c r="N439" s="161">
        <v>0</v>
      </c>
      <c r="O439" s="161">
        <v>0</v>
      </c>
      <c r="P439" s="161">
        <v>0</v>
      </c>
      <c r="Q439" s="104">
        <f t="shared" si="25"/>
        <v>3771.86</v>
      </c>
      <c r="R439" s="104"/>
      <c r="S439" s="66">
        <f t="shared" si="26"/>
        <v>430.36922600000003</v>
      </c>
    </row>
    <row r="440" spans="1:19" ht="15" x14ac:dyDescent="0.25">
      <c r="A440" s="141" t="s">
        <v>148</v>
      </c>
      <c r="B440" s="141" t="s">
        <v>316</v>
      </c>
      <c r="C440" s="141" t="s">
        <v>61</v>
      </c>
      <c r="D440" s="142" t="s">
        <v>241</v>
      </c>
      <c r="E440" s="158" t="s">
        <v>369</v>
      </c>
      <c r="F440" s="142" t="s">
        <v>142</v>
      </c>
      <c r="G440" s="141">
        <v>101039</v>
      </c>
      <c r="H440" s="141" t="s">
        <v>107</v>
      </c>
      <c r="I440" s="141" t="s">
        <v>247</v>
      </c>
      <c r="J440" s="159" t="s">
        <v>248</v>
      </c>
      <c r="K440" s="160">
        <v>0</v>
      </c>
      <c r="L440" s="141"/>
      <c r="M440" s="161">
        <v>83176.45</v>
      </c>
      <c r="N440" s="161">
        <v>0</v>
      </c>
      <c r="O440" s="161">
        <v>0</v>
      </c>
      <c r="P440" s="161">
        <v>0</v>
      </c>
      <c r="Q440" s="104">
        <f t="shared" si="25"/>
        <v>83176.45</v>
      </c>
      <c r="R440" s="104"/>
      <c r="S440" s="66">
        <f t="shared" si="26"/>
        <v>9490.4329450000005</v>
      </c>
    </row>
    <row r="441" spans="1:19" ht="15" x14ac:dyDescent="0.25">
      <c r="A441" s="141" t="s">
        <v>148</v>
      </c>
      <c r="B441" s="141" t="s">
        <v>316</v>
      </c>
      <c r="C441" s="141" t="s">
        <v>61</v>
      </c>
      <c r="D441" s="142" t="s">
        <v>241</v>
      </c>
      <c r="E441" s="158" t="s">
        <v>369</v>
      </c>
      <c r="F441" s="142" t="s">
        <v>142</v>
      </c>
      <c r="G441" s="141">
        <v>102002</v>
      </c>
      <c r="H441" s="141" t="s">
        <v>108</v>
      </c>
      <c r="I441" s="141" t="s">
        <v>247</v>
      </c>
      <c r="J441" s="159" t="s">
        <v>248</v>
      </c>
      <c r="K441" s="160">
        <v>0</v>
      </c>
      <c r="L441" s="141"/>
      <c r="M441" s="161">
        <v>40464.400000000001</v>
      </c>
      <c r="N441" s="161">
        <v>0</v>
      </c>
      <c r="O441" s="161">
        <v>0</v>
      </c>
      <c r="P441" s="161">
        <v>0</v>
      </c>
      <c r="Q441" s="104">
        <f t="shared" si="25"/>
        <v>40464.400000000001</v>
      </c>
      <c r="R441" s="104"/>
      <c r="S441" s="66">
        <f t="shared" si="26"/>
        <v>4616.9880400000011</v>
      </c>
    </row>
    <row r="442" spans="1:19" ht="15" x14ac:dyDescent="0.25">
      <c r="A442" s="141" t="s">
        <v>148</v>
      </c>
      <c r="B442" s="141" t="s">
        <v>316</v>
      </c>
      <c r="C442" s="141" t="s">
        <v>61</v>
      </c>
      <c r="D442" s="142" t="s">
        <v>241</v>
      </c>
      <c r="E442" s="158" t="s">
        <v>369</v>
      </c>
      <c r="F442" s="142" t="s">
        <v>142</v>
      </c>
      <c r="G442" s="141">
        <v>102002</v>
      </c>
      <c r="H442" s="141" t="s">
        <v>108</v>
      </c>
      <c r="I442" s="141" t="s">
        <v>247</v>
      </c>
      <c r="J442" s="159" t="s">
        <v>297</v>
      </c>
      <c r="K442" s="160">
        <v>0</v>
      </c>
      <c r="L442" s="141"/>
      <c r="M442" s="161">
        <v>5864.48</v>
      </c>
      <c r="N442" s="161">
        <v>0</v>
      </c>
      <c r="O442" s="161">
        <v>0</v>
      </c>
      <c r="P442" s="161">
        <v>0</v>
      </c>
      <c r="Q442" s="104">
        <f t="shared" si="25"/>
        <v>5864.48</v>
      </c>
      <c r="R442" s="104"/>
      <c r="S442" s="66">
        <f t="shared" si="26"/>
        <v>669.13716799999997</v>
      </c>
    </row>
    <row r="443" spans="1:19" ht="15" x14ac:dyDescent="0.25">
      <c r="A443" s="141" t="s">
        <v>148</v>
      </c>
      <c r="B443" s="141" t="s">
        <v>316</v>
      </c>
      <c r="C443" s="141" t="s">
        <v>61</v>
      </c>
      <c r="D443" s="142" t="s">
        <v>241</v>
      </c>
      <c r="E443" s="158" t="s">
        <v>369</v>
      </c>
      <c r="F443" s="142" t="s">
        <v>142</v>
      </c>
      <c r="G443" s="141">
        <v>102003</v>
      </c>
      <c r="H443" s="141" t="s">
        <v>106</v>
      </c>
      <c r="I443" s="141" t="s">
        <v>247</v>
      </c>
      <c r="J443" s="159" t="s">
        <v>248</v>
      </c>
      <c r="K443" s="160">
        <v>0</v>
      </c>
      <c r="L443" s="141"/>
      <c r="M443" s="161">
        <v>139889.42000000001</v>
      </c>
      <c r="N443" s="161">
        <v>130000</v>
      </c>
      <c r="O443" s="161">
        <v>95000</v>
      </c>
      <c r="P443" s="161">
        <v>225000</v>
      </c>
      <c r="Q443" s="104">
        <f t="shared" si="25"/>
        <v>-85110.579999999987</v>
      </c>
      <c r="R443" s="104"/>
      <c r="S443" s="66">
        <f t="shared" si="26"/>
        <v>15961.382822000003</v>
      </c>
    </row>
    <row r="444" spans="1:19" ht="15" x14ac:dyDescent="0.25">
      <c r="A444" s="141" t="s">
        <v>148</v>
      </c>
      <c r="B444" s="141" t="s">
        <v>316</v>
      </c>
      <c r="C444" s="141" t="s">
        <v>61</v>
      </c>
      <c r="D444" s="142" t="s">
        <v>241</v>
      </c>
      <c r="E444" s="158" t="s">
        <v>369</v>
      </c>
      <c r="F444" s="142" t="s">
        <v>142</v>
      </c>
      <c r="G444" s="141">
        <v>102005</v>
      </c>
      <c r="H444" s="141" t="s">
        <v>112</v>
      </c>
      <c r="I444" s="141" t="s">
        <v>247</v>
      </c>
      <c r="J444" s="159" t="s">
        <v>248</v>
      </c>
      <c r="K444" s="160">
        <v>0</v>
      </c>
      <c r="L444" s="141"/>
      <c r="M444" s="161">
        <v>112397.94</v>
      </c>
      <c r="N444" s="161">
        <v>0</v>
      </c>
      <c r="O444" s="161">
        <v>0</v>
      </c>
      <c r="P444" s="161">
        <v>0</v>
      </c>
      <c r="Q444" s="104">
        <f t="shared" si="25"/>
        <v>112397.94</v>
      </c>
      <c r="R444" s="129"/>
      <c r="S444" s="66">
        <f t="shared" si="26"/>
        <v>12824.604954000002</v>
      </c>
    </row>
    <row r="445" spans="1:19" ht="15" x14ac:dyDescent="0.25">
      <c r="A445" s="141" t="s">
        <v>148</v>
      </c>
      <c r="B445" s="141" t="s">
        <v>316</v>
      </c>
      <c r="C445" s="141" t="s">
        <v>61</v>
      </c>
      <c r="D445" s="142" t="s">
        <v>241</v>
      </c>
      <c r="E445" s="158" t="s">
        <v>369</v>
      </c>
      <c r="F445" s="142" t="s">
        <v>142</v>
      </c>
      <c r="G445" s="141">
        <v>102062</v>
      </c>
      <c r="H445" s="141" t="s">
        <v>113</v>
      </c>
      <c r="I445" s="141" t="s">
        <v>247</v>
      </c>
      <c r="J445" s="159" t="s">
        <v>248</v>
      </c>
      <c r="K445" s="160">
        <v>0</v>
      </c>
      <c r="L445" s="141"/>
      <c r="M445" s="161">
        <v>4820.49</v>
      </c>
      <c r="N445" s="161">
        <v>0</v>
      </c>
      <c r="O445" s="161">
        <v>0</v>
      </c>
      <c r="P445" s="161">
        <v>0</v>
      </c>
      <c r="Q445" s="104">
        <f t="shared" si="25"/>
        <v>4820.49</v>
      </c>
      <c r="R445" s="129"/>
      <c r="S445" s="66">
        <f t="shared" si="26"/>
        <v>550.01790900000003</v>
      </c>
    </row>
    <row r="446" spans="1:19" ht="15" x14ac:dyDescent="0.25">
      <c r="A446" s="141" t="s">
        <v>148</v>
      </c>
      <c r="B446" s="141" t="s">
        <v>316</v>
      </c>
      <c r="C446" s="141" t="s">
        <v>61</v>
      </c>
      <c r="D446" s="142" t="s">
        <v>241</v>
      </c>
      <c r="E446" s="158" t="s">
        <v>369</v>
      </c>
      <c r="F446" s="142" t="s">
        <v>142</v>
      </c>
      <c r="G446" s="141">
        <v>102062</v>
      </c>
      <c r="H446" s="141" t="s">
        <v>113</v>
      </c>
      <c r="I446" s="141" t="s">
        <v>247</v>
      </c>
      <c r="J446" s="159" t="s">
        <v>286</v>
      </c>
      <c r="K446" s="160">
        <v>0</v>
      </c>
      <c r="L446" s="141"/>
      <c r="M446" s="161">
        <v>544.97</v>
      </c>
      <c r="N446" s="161">
        <v>0</v>
      </c>
      <c r="O446" s="161">
        <v>0</v>
      </c>
      <c r="P446" s="161">
        <v>0</v>
      </c>
      <c r="Q446" s="104">
        <f t="shared" si="25"/>
        <v>544.97</v>
      </c>
      <c r="R446" s="129"/>
      <c r="S446" s="66">
        <f t="shared" si="26"/>
        <v>62.181077000000009</v>
      </c>
    </row>
    <row r="447" spans="1:19" ht="15" x14ac:dyDescent="0.25">
      <c r="A447" s="141" t="s">
        <v>148</v>
      </c>
      <c r="B447" s="141" t="s">
        <v>316</v>
      </c>
      <c r="C447" s="141" t="s">
        <v>61</v>
      </c>
      <c r="D447" s="142" t="s">
        <v>241</v>
      </c>
      <c r="E447" s="158" t="s">
        <v>369</v>
      </c>
      <c r="F447" s="142" t="s">
        <v>142</v>
      </c>
      <c r="G447" s="141">
        <v>103001</v>
      </c>
      <c r="H447" s="141" t="s">
        <v>109</v>
      </c>
      <c r="I447" s="141" t="s">
        <v>247</v>
      </c>
      <c r="J447" s="159" t="s">
        <v>248</v>
      </c>
      <c r="K447" s="160">
        <v>0</v>
      </c>
      <c r="L447" s="141"/>
      <c r="M447" s="161">
        <v>90262.05</v>
      </c>
      <c r="N447" s="161">
        <v>0</v>
      </c>
      <c r="O447" s="161">
        <v>71000</v>
      </c>
      <c r="P447" s="161">
        <v>71000</v>
      </c>
      <c r="Q447" s="104">
        <f t="shared" si="25"/>
        <v>19262.050000000003</v>
      </c>
      <c r="R447" s="129"/>
      <c r="S447" s="66">
        <f t="shared" si="26"/>
        <v>10298.899905</v>
      </c>
    </row>
    <row r="448" spans="1:19" ht="15" x14ac:dyDescent="0.25">
      <c r="A448" s="141" t="s">
        <v>148</v>
      </c>
      <c r="B448" s="141" t="s">
        <v>316</v>
      </c>
      <c r="C448" s="141" t="s">
        <v>61</v>
      </c>
      <c r="D448" s="142" t="s">
        <v>241</v>
      </c>
      <c r="E448" s="158" t="s">
        <v>369</v>
      </c>
      <c r="F448" s="142" t="s">
        <v>142</v>
      </c>
      <c r="G448" s="141">
        <v>103001</v>
      </c>
      <c r="H448" s="141" t="s">
        <v>109</v>
      </c>
      <c r="I448" s="141" t="s">
        <v>247</v>
      </c>
      <c r="J448" s="159" t="s">
        <v>297</v>
      </c>
      <c r="K448" s="160">
        <v>0</v>
      </c>
      <c r="L448" s="141"/>
      <c r="M448" s="161">
        <v>4024.27</v>
      </c>
      <c r="N448" s="161">
        <v>0</v>
      </c>
      <c r="O448" s="161">
        <v>0</v>
      </c>
      <c r="P448" s="161">
        <v>0</v>
      </c>
      <c r="Q448" s="104">
        <f t="shared" si="25"/>
        <v>4024.27</v>
      </c>
      <c r="R448" s="129"/>
      <c r="S448" s="66">
        <f t="shared" si="26"/>
        <v>459.16920700000003</v>
      </c>
    </row>
    <row r="449" spans="1:19" ht="15" x14ac:dyDescent="0.25">
      <c r="A449" s="141" t="s">
        <v>148</v>
      </c>
      <c r="B449" s="141" t="s">
        <v>316</v>
      </c>
      <c r="C449" s="141" t="s">
        <v>61</v>
      </c>
      <c r="D449" s="142" t="s">
        <v>241</v>
      </c>
      <c r="E449" s="158" t="s">
        <v>369</v>
      </c>
      <c r="F449" s="142" t="s">
        <v>142</v>
      </c>
      <c r="G449" s="141">
        <v>103062</v>
      </c>
      <c r="H449" s="141" t="s">
        <v>114</v>
      </c>
      <c r="I449" s="141" t="s">
        <v>247</v>
      </c>
      <c r="J449" s="159" t="s">
        <v>248</v>
      </c>
      <c r="K449" s="160">
        <v>0</v>
      </c>
      <c r="L449" s="141"/>
      <c r="M449" s="161">
        <v>1472.39</v>
      </c>
      <c r="N449" s="161">
        <v>0</v>
      </c>
      <c r="O449" s="161">
        <v>0</v>
      </c>
      <c r="P449" s="161">
        <v>0</v>
      </c>
      <c r="Q449" s="104">
        <f t="shared" si="25"/>
        <v>1472.39</v>
      </c>
      <c r="R449" s="129"/>
      <c r="S449" s="66">
        <f t="shared" si="26"/>
        <v>167.99969900000002</v>
      </c>
    </row>
    <row r="450" spans="1:19" ht="15" x14ac:dyDescent="0.25">
      <c r="A450" s="141" t="s">
        <v>148</v>
      </c>
      <c r="B450" s="141" t="s">
        <v>316</v>
      </c>
      <c r="C450" s="141" t="s">
        <v>61</v>
      </c>
      <c r="D450" s="142" t="s">
        <v>241</v>
      </c>
      <c r="E450" s="158" t="s">
        <v>369</v>
      </c>
      <c r="F450" s="142" t="s">
        <v>142</v>
      </c>
      <c r="G450" s="141">
        <v>103069</v>
      </c>
      <c r="H450" s="141" t="s">
        <v>214</v>
      </c>
      <c r="I450" s="141" t="s">
        <v>247</v>
      </c>
      <c r="J450" s="159" t="s">
        <v>248</v>
      </c>
      <c r="K450" s="160">
        <v>0</v>
      </c>
      <c r="L450" s="141"/>
      <c r="M450" s="161">
        <v>13776.2</v>
      </c>
      <c r="N450" s="161">
        <v>0</v>
      </c>
      <c r="O450" s="161">
        <v>0</v>
      </c>
      <c r="P450" s="161">
        <v>0</v>
      </c>
      <c r="Q450" s="104">
        <f t="shared" si="25"/>
        <v>13776.2</v>
      </c>
      <c r="R450" s="129"/>
      <c r="S450" s="66">
        <f t="shared" si="26"/>
        <v>1571.8644200000001</v>
      </c>
    </row>
    <row r="451" spans="1:19" ht="15" x14ac:dyDescent="0.25">
      <c r="A451" s="141" t="s">
        <v>148</v>
      </c>
      <c r="B451" s="141" t="s">
        <v>316</v>
      </c>
      <c r="C451" s="141" t="s">
        <v>61</v>
      </c>
      <c r="D451" s="142" t="s">
        <v>241</v>
      </c>
      <c r="E451" s="158" t="s">
        <v>369</v>
      </c>
      <c r="F451" s="142" t="s">
        <v>142</v>
      </c>
      <c r="G451" s="141">
        <v>104000</v>
      </c>
      <c r="H451" s="141" t="s">
        <v>110</v>
      </c>
      <c r="I451" s="141" t="s">
        <v>247</v>
      </c>
      <c r="J451" s="159" t="s">
        <v>248</v>
      </c>
      <c r="K451" s="160">
        <v>0</v>
      </c>
      <c r="L451" s="141"/>
      <c r="M451" s="161">
        <v>48477.66</v>
      </c>
      <c r="N451" s="161">
        <v>48000</v>
      </c>
      <c r="O451" s="161">
        <v>1000</v>
      </c>
      <c r="P451" s="161">
        <v>49000</v>
      </c>
      <c r="Q451" s="104">
        <f t="shared" si="25"/>
        <v>-522.33999999999651</v>
      </c>
      <c r="R451" s="129"/>
      <c r="S451" s="66">
        <f t="shared" si="26"/>
        <v>5531.3010060000006</v>
      </c>
    </row>
    <row r="452" spans="1:19" ht="15" x14ac:dyDescent="0.25">
      <c r="A452" s="141" t="s">
        <v>148</v>
      </c>
      <c r="B452" s="141" t="s">
        <v>316</v>
      </c>
      <c r="C452" s="141" t="s">
        <v>61</v>
      </c>
      <c r="D452" s="142" t="s">
        <v>241</v>
      </c>
      <c r="E452" s="158" t="s">
        <v>369</v>
      </c>
      <c r="F452" s="142" t="s">
        <v>142</v>
      </c>
      <c r="G452" s="141">
        <v>104000</v>
      </c>
      <c r="H452" s="141" t="s">
        <v>110</v>
      </c>
      <c r="I452" s="141" t="s">
        <v>247</v>
      </c>
      <c r="J452" s="159" t="s">
        <v>297</v>
      </c>
      <c r="K452" s="160">
        <v>0</v>
      </c>
      <c r="L452" s="141"/>
      <c r="M452" s="161">
        <v>201.88</v>
      </c>
      <c r="N452" s="161">
        <v>0</v>
      </c>
      <c r="O452" s="161">
        <v>0</v>
      </c>
      <c r="P452" s="161">
        <v>0</v>
      </c>
      <c r="Q452" s="104">
        <f t="shared" si="25"/>
        <v>201.88</v>
      </c>
      <c r="R452" s="129"/>
      <c r="S452" s="66">
        <f t="shared" si="26"/>
        <v>23.034508000000002</v>
      </c>
    </row>
    <row r="453" spans="1:19" ht="15" x14ac:dyDescent="0.25">
      <c r="A453" s="141" t="s">
        <v>148</v>
      </c>
      <c r="B453" s="141" t="s">
        <v>316</v>
      </c>
      <c r="C453" s="141" t="s">
        <v>61</v>
      </c>
      <c r="D453" s="142" t="s">
        <v>241</v>
      </c>
      <c r="E453" s="158" t="s">
        <v>369</v>
      </c>
      <c r="F453" s="142" t="s">
        <v>142</v>
      </c>
      <c r="G453" s="141">
        <v>104000</v>
      </c>
      <c r="H453" s="141" t="s">
        <v>110</v>
      </c>
      <c r="I453" s="141" t="s">
        <v>247</v>
      </c>
      <c r="J453" s="159" t="s">
        <v>286</v>
      </c>
      <c r="K453" s="160">
        <v>0</v>
      </c>
      <c r="L453" s="141"/>
      <c r="M453" s="161">
        <v>3405.79</v>
      </c>
      <c r="N453" s="161">
        <v>0</v>
      </c>
      <c r="O453" s="161">
        <v>0</v>
      </c>
      <c r="P453" s="161">
        <v>0</v>
      </c>
      <c r="Q453" s="104">
        <f t="shared" si="25"/>
        <v>3405.79</v>
      </c>
      <c r="R453" s="104"/>
      <c r="S453" s="66">
        <f t="shared" si="26"/>
        <v>388.600639</v>
      </c>
    </row>
    <row r="454" spans="1:19" ht="15" x14ac:dyDescent="0.25">
      <c r="A454" s="141" t="s">
        <v>148</v>
      </c>
      <c r="B454" s="141" t="s">
        <v>316</v>
      </c>
      <c r="C454" s="141" t="s">
        <v>61</v>
      </c>
      <c r="D454" s="142" t="s">
        <v>241</v>
      </c>
      <c r="E454" s="158" t="s">
        <v>369</v>
      </c>
      <c r="F454" s="142" t="s">
        <v>142</v>
      </c>
      <c r="G454" s="141">
        <v>105003</v>
      </c>
      <c r="H454" s="141" t="s">
        <v>268</v>
      </c>
      <c r="I454" s="141" t="s">
        <v>247</v>
      </c>
      <c r="J454" s="159" t="s">
        <v>248</v>
      </c>
      <c r="K454" s="160">
        <v>0</v>
      </c>
      <c r="L454" s="141"/>
      <c r="M454" s="163">
        <v>275753.34999999998</v>
      </c>
      <c r="N454" s="161">
        <v>0</v>
      </c>
      <c r="O454" s="161">
        <v>0</v>
      </c>
      <c r="P454" s="161">
        <v>0</v>
      </c>
      <c r="Q454" s="104">
        <f t="shared" si="25"/>
        <v>275753.34999999998</v>
      </c>
      <c r="R454" s="104"/>
      <c r="S454" s="66">
        <f t="shared" si="26"/>
        <v>31463.457234999998</v>
      </c>
    </row>
    <row r="455" spans="1:19" ht="15" x14ac:dyDescent="0.25">
      <c r="A455" s="141" t="s">
        <v>148</v>
      </c>
      <c r="B455" s="141" t="s">
        <v>316</v>
      </c>
      <c r="C455" s="141" t="s">
        <v>61</v>
      </c>
      <c r="D455" s="142" t="s">
        <v>241</v>
      </c>
      <c r="E455" s="158" t="s">
        <v>369</v>
      </c>
      <c r="F455" s="142" t="s">
        <v>142</v>
      </c>
      <c r="G455" s="141">
        <v>105010</v>
      </c>
      <c r="H455" s="141" t="s">
        <v>118</v>
      </c>
      <c r="I455" s="141" t="s">
        <v>247</v>
      </c>
      <c r="J455" s="159" t="s">
        <v>248</v>
      </c>
      <c r="K455" s="160">
        <v>0</v>
      </c>
      <c r="L455" s="141"/>
      <c r="M455" s="161">
        <v>575.23</v>
      </c>
      <c r="N455" s="161">
        <v>0</v>
      </c>
      <c r="O455" s="161">
        <v>0</v>
      </c>
      <c r="P455" s="161">
        <v>0</v>
      </c>
      <c r="Q455" s="104">
        <f t="shared" si="25"/>
        <v>575.23</v>
      </c>
      <c r="R455" s="104"/>
      <c r="S455" s="66">
        <f t="shared" si="26"/>
        <v>65.63374300000001</v>
      </c>
    </row>
    <row r="456" spans="1:19" ht="15" x14ac:dyDescent="0.25">
      <c r="A456" s="141" t="s">
        <v>148</v>
      </c>
      <c r="B456" s="141" t="s">
        <v>316</v>
      </c>
      <c r="C456" s="141" t="s">
        <v>61</v>
      </c>
      <c r="D456" s="142" t="s">
        <v>241</v>
      </c>
      <c r="E456" s="158" t="s">
        <v>369</v>
      </c>
      <c r="F456" s="142" t="s">
        <v>142</v>
      </c>
      <c r="G456" s="141">
        <v>105019</v>
      </c>
      <c r="H456" s="141" t="s">
        <v>111</v>
      </c>
      <c r="I456" s="141" t="s">
        <v>247</v>
      </c>
      <c r="J456" s="159" t="s">
        <v>248</v>
      </c>
      <c r="K456" s="160">
        <v>0</v>
      </c>
      <c r="L456" s="141"/>
      <c r="M456" s="161">
        <v>169.53</v>
      </c>
      <c r="N456" s="161">
        <v>0</v>
      </c>
      <c r="O456" s="161">
        <v>0</v>
      </c>
      <c r="P456" s="161">
        <v>0</v>
      </c>
      <c r="Q456" s="104">
        <f t="shared" ref="Q456:Q519" si="29">M456-P456</f>
        <v>169.53</v>
      </c>
      <c r="R456" s="104"/>
      <c r="S456" s="66">
        <f t="shared" si="26"/>
        <v>19.343373</v>
      </c>
    </row>
    <row r="457" spans="1:19" ht="15" x14ac:dyDescent="0.25">
      <c r="A457" s="141" t="s">
        <v>148</v>
      </c>
      <c r="B457" s="141" t="s">
        <v>316</v>
      </c>
      <c r="C457" s="141" t="s">
        <v>61</v>
      </c>
      <c r="D457" s="142" t="s">
        <v>241</v>
      </c>
      <c r="E457" s="158" t="s">
        <v>369</v>
      </c>
      <c r="F457" s="142" t="s">
        <v>142</v>
      </c>
      <c r="G457" s="141">
        <v>105098</v>
      </c>
      <c r="H457" s="141" t="s">
        <v>265</v>
      </c>
      <c r="I457" s="141" t="s">
        <v>247</v>
      </c>
      <c r="J457" s="159" t="s">
        <v>302</v>
      </c>
      <c r="K457" s="160">
        <v>0</v>
      </c>
      <c r="L457" s="141"/>
      <c r="M457" s="161">
        <v>-4392</v>
      </c>
      <c r="N457" s="161">
        <v>0</v>
      </c>
      <c r="O457" s="161">
        <v>0</v>
      </c>
      <c r="P457" s="161">
        <v>0</v>
      </c>
      <c r="Q457" s="104">
        <f t="shared" si="29"/>
        <v>-4392</v>
      </c>
      <c r="R457" s="104"/>
      <c r="S457" s="66">
        <f t="shared" ref="S457:S520" si="30">M457*$S$7*1.141</f>
        <v>-501.12720000000007</v>
      </c>
    </row>
    <row r="458" spans="1:19" ht="15" x14ac:dyDescent="0.25">
      <c r="A458" s="141" t="s">
        <v>148</v>
      </c>
      <c r="B458" s="141" t="s">
        <v>316</v>
      </c>
      <c r="C458" s="141" t="s">
        <v>61</v>
      </c>
      <c r="D458" s="142" t="s">
        <v>241</v>
      </c>
      <c r="E458" s="158" t="s">
        <v>369</v>
      </c>
      <c r="F458" s="142" t="s">
        <v>142</v>
      </c>
      <c r="G458" s="141">
        <v>105099</v>
      </c>
      <c r="H458" s="141" t="s">
        <v>103</v>
      </c>
      <c r="I458" s="141" t="s">
        <v>247</v>
      </c>
      <c r="J458" s="159" t="s">
        <v>303</v>
      </c>
      <c r="K458" s="160">
        <v>0</v>
      </c>
      <c r="L458" s="141"/>
      <c r="M458" s="161">
        <v>4392</v>
      </c>
      <c r="N458" s="161">
        <v>0</v>
      </c>
      <c r="O458" s="161">
        <v>0</v>
      </c>
      <c r="P458" s="161">
        <v>0</v>
      </c>
      <c r="Q458" s="104">
        <f t="shared" si="29"/>
        <v>4392</v>
      </c>
      <c r="R458" s="104"/>
      <c r="S458" s="66">
        <f t="shared" si="30"/>
        <v>501.12720000000007</v>
      </c>
    </row>
    <row r="459" spans="1:19" ht="15" x14ac:dyDescent="0.25">
      <c r="A459" s="141" t="s">
        <v>148</v>
      </c>
      <c r="B459" s="141" t="s">
        <v>316</v>
      </c>
      <c r="C459" s="141" t="s">
        <v>61</v>
      </c>
      <c r="D459" s="142" t="s">
        <v>241</v>
      </c>
      <c r="E459" s="158" t="s">
        <v>369</v>
      </c>
      <c r="F459" s="142" t="s">
        <v>142</v>
      </c>
      <c r="G459" s="144">
        <v>109001</v>
      </c>
      <c r="H459" s="141" t="s">
        <v>101</v>
      </c>
      <c r="I459" s="141" t="s">
        <v>247</v>
      </c>
      <c r="J459" s="159" t="s">
        <v>248</v>
      </c>
      <c r="K459" s="160">
        <v>0</v>
      </c>
      <c r="L459" s="141"/>
      <c r="M459" s="161">
        <v>607844.80000000005</v>
      </c>
      <c r="N459" s="161">
        <v>573000</v>
      </c>
      <c r="O459" s="161">
        <v>7000</v>
      </c>
      <c r="P459" s="161">
        <v>580000</v>
      </c>
      <c r="Q459" s="104">
        <f t="shared" si="29"/>
        <v>27844.800000000047</v>
      </c>
      <c r="R459" s="129">
        <f t="shared" ref="R459:R462" si="31">M459*-1.141</f>
        <v>-693550.91680000001</v>
      </c>
    </row>
    <row r="460" spans="1:19" ht="15" x14ac:dyDescent="0.25">
      <c r="A460" s="141" t="s">
        <v>148</v>
      </c>
      <c r="B460" s="141" t="s">
        <v>316</v>
      </c>
      <c r="C460" s="141" t="s">
        <v>61</v>
      </c>
      <c r="D460" s="142" t="s">
        <v>241</v>
      </c>
      <c r="E460" s="158" t="s">
        <v>369</v>
      </c>
      <c r="F460" s="142" t="s">
        <v>142</v>
      </c>
      <c r="G460" s="144">
        <v>109001</v>
      </c>
      <c r="H460" s="141" t="s">
        <v>101</v>
      </c>
      <c r="I460" s="141" t="s">
        <v>247</v>
      </c>
      <c r="J460" s="159" t="s">
        <v>289</v>
      </c>
      <c r="K460" s="160">
        <v>0</v>
      </c>
      <c r="L460" s="141"/>
      <c r="M460" s="161">
        <v>0</v>
      </c>
      <c r="N460" s="161">
        <v>0</v>
      </c>
      <c r="O460" s="161">
        <v>0</v>
      </c>
      <c r="P460" s="161">
        <v>0</v>
      </c>
      <c r="Q460" s="104">
        <f t="shared" si="29"/>
        <v>0</v>
      </c>
      <c r="R460" s="129">
        <f t="shared" si="31"/>
        <v>0</v>
      </c>
    </row>
    <row r="461" spans="1:19" ht="15" x14ac:dyDescent="0.25">
      <c r="A461" s="141" t="s">
        <v>148</v>
      </c>
      <c r="B461" s="141" t="s">
        <v>316</v>
      </c>
      <c r="C461" s="141" t="s">
        <v>61</v>
      </c>
      <c r="D461" s="142" t="s">
        <v>241</v>
      </c>
      <c r="E461" s="158" t="s">
        <v>369</v>
      </c>
      <c r="F461" s="142" t="s">
        <v>142</v>
      </c>
      <c r="G461" s="144">
        <v>109001</v>
      </c>
      <c r="H461" s="141" t="s">
        <v>101</v>
      </c>
      <c r="I461" s="141" t="s">
        <v>247</v>
      </c>
      <c r="J461" s="159" t="s">
        <v>297</v>
      </c>
      <c r="K461" s="160">
        <v>0</v>
      </c>
      <c r="L461" s="141"/>
      <c r="M461" s="161">
        <v>1869.19</v>
      </c>
      <c r="N461" s="161">
        <v>0</v>
      </c>
      <c r="O461" s="161">
        <v>0</v>
      </c>
      <c r="P461" s="161">
        <v>0</v>
      </c>
      <c r="Q461" s="104">
        <f t="shared" si="29"/>
        <v>1869.19</v>
      </c>
      <c r="R461" s="129">
        <f t="shared" si="31"/>
        <v>-2132.7457899999999</v>
      </c>
    </row>
    <row r="462" spans="1:19" ht="15" x14ac:dyDescent="0.25">
      <c r="A462" s="141" t="s">
        <v>148</v>
      </c>
      <c r="B462" s="141" t="s">
        <v>316</v>
      </c>
      <c r="C462" s="141" t="s">
        <v>61</v>
      </c>
      <c r="D462" s="142" t="s">
        <v>241</v>
      </c>
      <c r="E462" s="158" t="s">
        <v>369</v>
      </c>
      <c r="F462" s="142" t="s">
        <v>142</v>
      </c>
      <c r="G462" s="144">
        <v>109001</v>
      </c>
      <c r="H462" s="141" t="s">
        <v>101</v>
      </c>
      <c r="I462" s="141" t="s">
        <v>247</v>
      </c>
      <c r="J462" s="159" t="s">
        <v>286</v>
      </c>
      <c r="K462" s="160">
        <v>0</v>
      </c>
      <c r="L462" s="141"/>
      <c r="M462" s="161">
        <v>357.41</v>
      </c>
      <c r="N462" s="161">
        <v>0</v>
      </c>
      <c r="O462" s="161">
        <v>0</v>
      </c>
      <c r="P462" s="161">
        <v>0</v>
      </c>
      <c r="Q462" s="104">
        <f t="shared" si="29"/>
        <v>357.41</v>
      </c>
      <c r="R462" s="129">
        <f t="shared" si="31"/>
        <v>-407.80481000000003</v>
      </c>
    </row>
    <row r="463" spans="1:19" ht="15" x14ac:dyDescent="0.25">
      <c r="A463" s="141" t="s">
        <v>148</v>
      </c>
      <c r="B463" s="141" t="s">
        <v>316</v>
      </c>
      <c r="C463" s="141" t="s">
        <v>61</v>
      </c>
      <c r="D463" s="142" t="s">
        <v>241</v>
      </c>
      <c r="E463" s="158" t="s">
        <v>369</v>
      </c>
      <c r="F463" s="142" t="s">
        <v>142</v>
      </c>
      <c r="G463" s="144">
        <v>109901</v>
      </c>
      <c r="H463" s="141" t="s">
        <v>102</v>
      </c>
      <c r="I463" s="141" t="s">
        <v>247</v>
      </c>
      <c r="J463" s="159" t="s">
        <v>248</v>
      </c>
      <c r="K463" s="160">
        <v>0</v>
      </c>
      <c r="L463" s="141"/>
      <c r="M463" s="161">
        <v>1000005.4</v>
      </c>
      <c r="N463" s="161">
        <v>941000</v>
      </c>
      <c r="O463" s="161">
        <v>11000</v>
      </c>
      <c r="P463" s="161">
        <v>952000</v>
      </c>
      <c r="Q463" s="104">
        <f t="shared" si="29"/>
        <v>48005.400000000023</v>
      </c>
      <c r="R463" s="104"/>
    </row>
    <row r="464" spans="1:19" ht="15" x14ac:dyDescent="0.25">
      <c r="A464" s="141" t="s">
        <v>148</v>
      </c>
      <c r="B464" s="141" t="s">
        <v>316</v>
      </c>
      <c r="C464" s="141" t="s">
        <v>61</v>
      </c>
      <c r="D464" s="142" t="s">
        <v>241</v>
      </c>
      <c r="E464" s="158" t="s">
        <v>369</v>
      </c>
      <c r="F464" s="142" t="s">
        <v>142</v>
      </c>
      <c r="G464" s="144">
        <v>109901</v>
      </c>
      <c r="H464" s="141" t="s">
        <v>102</v>
      </c>
      <c r="I464" s="141" t="s">
        <v>247</v>
      </c>
      <c r="J464" s="159" t="s">
        <v>303</v>
      </c>
      <c r="K464" s="160">
        <v>0</v>
      </c>
      <c r="L464" s="141"/>
      <c r="M464" s="161">
        <v>628.04</v>
      </c>
      <c r="N464" s="161">
        <v>0</v>
      </c>
      <c r="O464" s="161">
        <v>0</v>
      </c>
      <c r="P464" s="161">
        <v>0</v>
      </c>
      <c r="Q464" s="104">
        <f t="shared" si="29"/>
        <v>628.04</v>
      </c>
      <c r="R464" s="104"/>
    </row>
    <row r="465" spans="1:19" ht="15" x14ac:dyDescent="0.25">
      <c r="A465" s="141" t="s">
        <v>148</v>
      </c>
      <c r="B465" s="141" t="s">
        <v>316</v>
      </c>
      <c r="C465" s="141" t="s">
        <v>61</v>
      </c>
      <c r="D465" s="142" t="s">
        <v>241</v>
      </c>
      <c r="E465" s="158" t="s">
        <v>369</v>
      </c>
      <c r="F465" s="142" t="s">
        <v>142</v>
      </c>
      <c r="G465" s="144">
        <v>109901</v>
      </c>
      <c r="H465" s="141" t="s">
        <v>102</v>
      </c>
      <c r="I465" s="141" t="s">
        <v>247</v>
      </c>
      <c r="J465" s="159" t="s">
        <v>289</v>
      </c>
      <c r="K465" s="160">
        <v>0</v>
      </c>
      <c r="L465" s="141"/>
      <c r="M465" s="161">
        <v>0</v>
      </c>
      <c r="N465" s="161">
        <v>0</v>
      </c>
      <c r="O465" s="161">
        <v>0</v>
      </c>
      <c r="P465" s="161">
        <v>0</v>
      </c>
      <c r="Q465" s="104">
        <f t="shared" si="29"/>
        <v>0</v>
      </c>
      <c r="R465" s="104"/>
    </row>
    <row r="466" spans="1:19" ht="15" x14ac:dyDescent="0.25">
      <c r="A466" s="141" t="s">
        <v>148</v>
      </c>
      <c r="B466" s="141" t="s">
        <v>316</v>
      </c>
      <c r="C466" s="141" t="s">
        <v>61</v>
      </c>
      <c r="D466" s="142" t="s">
        <v>241</v>
      </c>
      <c r="E466" s="158" t="s">
        <v>369</v>
      </c>
      <c r="F466" s="142" t="s">
        <v>142</v>
      </c>
      <c r="G466" s="144">
        <v>109901</v>
      </c>
      <c r="H466" s="141" t="s">
        <v>102</v>
      </c>
      <c r="I466" s="141" t="s">
        <v>247</v>
      </c>
      <c r="J466" s="159" t="s">
        <v>297</v>
      </c>
      <c r="K466" s="160">
        <v>0</v>
      </c>
      <c r="L466" s="141"/>
      <c r="M466" s="161">
        <v>3061.75</v>
      </c>
      <c r="N466" s="161">
        <v>0</v>
      </c>
      <c r="O466" s="161">
        <v>0</v>
      </c>
      <c r="P466" s="161">
        <v>0</v>
      </c>
      <c r="Q466" s="104">
        <f t="shared" si="29"/>
        <v>3061.75</v>
      </c>
      <c r="R466" s="104"/>
    </row>
    <row r="467" spans="1:19" ht="15" x14ac:dyDescent="0.25">
      <c r="A467" s="141" t="s">
        <v>148</v>
      </c>
      <c r="B467" s="141" t="s">
        <v>316</v>
      </c>
      <c r="C467" s="141" t="s">
        <v>61</v>
      </c>
      <c r="D467" s="142" t="s">
        <v>241</v>
      </c>
      <c r="E467" s="158" t="s">
        <v>369</v>
      </c>
      <c r="F467" s="142" t="s">
        <v>142</v>
      </c>
      <c r="G467" s="144">
        <v>109901</v>
      </c>
      <c r="H467" s="141" t="s">
        <v>102</v>
      </c>
      <c r="I467" s="141" t="s">
        <v>247</v>
      </c>
      <c r="J467" s="159" t="s">
        <v>286</v>
      </c>
      <c r="K467" s="160">
        <v>0</v>
      </c>
      <c r="L467" s="141"/>
      <c r="M467" s="161">
        <v>1139.31</v>
      </c>
      <c r="N467" s="161">
        <v>0</v>
      </c>
      <c r="O467" s="161">
        <v>0</v>
      </c>
      <c r="P467" s="161">
        <v>0</v>
      </c>
      <c r="Q467" s="104">
        <f t="shared" si="29"/>
        <v>1139.31</v>
      </c>
      <c r="R467" s="104"/>
    </row>
    <row r="468" spans="1:19" ht="15" x14ac:dyDescent="0.25">
      <c r="A468" s="141" t="s">
        <v>148</v>
      </c>
      <c r="B468" s="141" t="s">
        <v>317</v>
      </c>
      <c r="C468" s="141" t="s">
        <v>62</v>
      </c>
      <c r="D468" s="142" t="s">
        <v>241</v>
      </c>
      <c r="E468" s="158" t="s">
        <v>369</v>
      </c>
      <c r="F468" s="142" t="s">
        <v>142</v>
      </c>
      <c r="G468" s="141">
        <v>101001</v>
      </c>
      <c r="H468" s="141" t="s">
        <v>104</v>
      </c>
      <c r="I468" s="141" t="s">
        <v>247</v>
      </c>
      <c r="J468" s="159" t="s">
        <v>248</v>
      </c>
      <c r="K468" s="160">
        <v>0</v>
      </c>
      <c r="L468" s="141"/>
      <c r="M468" s="161">
        <v>5549559.1299999999</v>
      </c>
      <c r="N468" s="161">
        <v>5256000</v>
      </c>
      <c r="O468" s="161">
        <v>218000</v>
      </c>
      <c r="P468" s="161">
        <v>5474000</v>
      </c>
      <c r="Q468" s="104">
        <f t="shared" si="29"/>
        <v>75559.129999999888</v>
      </c>
      <c r="R468" s="104"/>
      <c r="S468" s="66">
        <f t="shared" si="30"/>
        <v>633204.69673300011</v>
      </c>
    </row>
    <row r="469" spans="1:19" ht="15" x14ac:dyDescent="0.25">
      <c r="A469" s="141" t="s">
        <v>148</v>
      </c>
      <c r="B469" s="141" t="s">
        <v>317</v>
      </c>
      <c r="C469" s="141" t="s">
        <v>62</v>
      </c>
      <c r="D469" s="142" t="s">
        <v>241</v>
      </c>
      <c r="E469" s="158" t="s">
        <v>369</v>
      </c>
      <c r="F469" s="142" t="s">
        <v>142</v>
      </c>
      <c r="G469" s="141">
        <v>101002</v>
      </c>
      <c r="H469" s="141" t="s">
        <v>105</v>
      </c>
      <c r="I469" s="141" t="s">
        <v>247</v>
      </c>
      <c r="J469" s="159" t="s">
        <v>248</v>
      </c>
      <c r="K469" s="160">
        <v>0</v>
      </c>
      <c r="L469" s="141"/>
      <c r="M469" s="161">
        <v>52153.27</v>
      </c>
      <c r="N469" s="161">
        <v>0</v>
      </c>
      <c r="O469" s="161">
        <v>0</v>
      </c>
      <c r="P469" s="161">
        <v>0</v>
      </c>
      <c r="Q469" s="104">
        <f t="shared" si="29"/>
        <v>52153.27</v>
      </c>
      <c r="R469" s="104"/>
      <c r="S469" s="66">
        <f t="shared" si="30"/>
        <v>5950.6881069999999</v>
      </c>
    </row>
    <row r="470" spans="1:19" ht="15" x14ac:dyDescent="0.25">
      <c r="A470" s="141" t="s">
        <v>148</v>
      </c>
      <c r="B470" s="141" t="s">
        <v>317</v>
      </c>
      <c r="C470" s="141" t="s">
        <v>62</v>
      </c>
      <c r="D470" s="142" t="s">
        <v>241</v>
      </c>
      <c r="E470" s="158" t="s">
        <v>369</v>
      </c>
      <c r="F470" s="142" t="s">
        <v>142</v>
      </c>
      <c r="G470" s="141">
        <v>101039</v>
      </c>
      <c r="H470" s="141" t="s">
        <v>107</v>
      </c>
      <c r="I470" s="141" t="s">
        <v>247</v>
      </c>
      <c r="J470" s="159" t="s">
        <v>248</v>
      </c>
      <c r="K470" s="160">
        <v>0</v>
      </c>
      <c r="L470" s="141"/>
      <c r="M470" s="161">
        <v>88145.3</v>
      </c>
      <c r="N470" s="161">
        <v>0</v>
      </c>
      <c r="O470" s="161">
        <v>0</v>
      </c>
      <c r="P470" s="161">
        <v>0</v>
      </c>
      <c r="Q470" s="104">
        <f t="shared" si="29"/>
        <v>88145.3</v>
      </c>
      <c r="R470" s="104"/>
      <c r="S470" s="66">
        <f t="shared" si="30"/>
        <v>10057.37873</v>
      </c>
    </row>
    <row r="471" spans="1:19" ht="15" x14ac:dyDescent="0.25">
      <c r="A471" s="141" t="s">
        <v>148</v>
      </c>
      <c r="B471" s="141" t="s">
        <v>317</v>
      </c>
      <c r="C471" s="141" t="s">
        <v>62</v>
      </c>
      <c r="D471" s="142" t="s">
        <v>241</v>
      </c>
      <c r="E471" s="158" t="s">
        <v>369</v>
      </c>
      <c r="F471" s="142" t="s">
        <v>142</v>
      </c>
      <c r="G471" s="141">
        <v>102002</v>
      </c>
      <c r="H471" s="141" t="s">
        <v>108</v>
      </c>
      <c r="I471" s="141" t="s">
        <v>247</v>
      </c>
      <c r="J471" s="159" t="s">
        <v>248</v>
      </c>
      <c r="K471" s="160">
        <v>0</v>
      </c>
      <c r="L471" s="141"/>
      <c r="M471" s="161">
        <v>30489.07</v>
      </c>
      <c r="N471" s="161">
        <v>0</v>
      </c>
      <c r="O471" s="161">
        <v>0</v>
      </c>
      <c r="P471" s="161">
        <v>0</v>
      </c>
      <c r="Q471" s="104">
        <f t="shared" si="29"/>
        <v>30489.07</v>
      </c>
      <c r="R471" s="104"/>
      <c r="S471" s="66">
        <f t="shared" si="30"/>
        <v>3478.8028870000003</v>
      </c>
    </row>
    <row r="472" spans="1:19" ht="15" x14ac:dyDescent="0.25">
      <c r="A472" s="141" t="s">
        <v>148</v>
      </c>
      <c r="B472" s="141" t="s">
        <v>317</v>
      </c>
      <c r="C472" s="141" t="s">
        <v>62</v>
      </c>
      <c r="D472" s="142" t="s">
        <v>241</v>
      </c>
      <c r="E472" s="158" t="s">
        <v>369</v>
      </c>
      <c r="F472" s="142" t="s">
        <v>142</v>
      </c>
      <c r="G472" s="141">
        <v>102002</v>
      </c>
      <c r="H472" s="141" t="s">
        <v>108</v>
      </c>
      <c r="I472" s="141" t="s">
        <v>247</v>
      </c>
      <c r="J472" s="159" t="s">
        <v>286</v>
      </c>
      <c r="K472" s="160">
        <v>0</v>
      </c>
      <c r="L472" s="141"/>
      <c r="M472" s="161">
        <v>3313.05</v>
      </c>
      <c r="N472" s="161">
        <v>0</v>
      </c>
      <c r="O472" s="161">
        <v>0</v>
      </c>
      <c r="P472" s="161">
        <v>0</v>
      </c>
      <c r="Q472" s="104">
        <f t="shared" si="29"/>
        <v>3313.05</v>
      </c>
      <c r="R472" s="104"/>
      <c r="S472" s="66">
        <f t="shared" si="30"/>
        <v>378.01900500000005</v>
      </c>
    </row>
    <row r="473" spans="1:19" ht="15" x14ac:dyDescent="0.25">
      <c r="A473" s="141" t="s">
        <v>148</v>
      </c>
      <c r="B473" s="141" t="s">
        <v>317</v>
      </c>
      <c r="C473" s="141" t="s">
        <v>62</v>
      </c>
      <c r="D473" s="142" t="s">
        <v>241</v>
      </c>
      <c r="E473" s="158" t="s">
        <v>369</v>
      </c>
      <c r="F473" s="142" t="s">
        <v>142</v>
      </c>
      <c r="G473" s="141">
        <v>102003</v>
      </c>
      <c r="H473" s="141" t="s">
        <v>106</v>
      </c>
      <c r="I473" s="141" t="s">
        <v>247</v>
      </c>
      <c r="J473" s="159" t="s">
        <v>248</v>
      </c>
      <c r="K473" s="160">
        <v>0</v>
      </c>
      <c r="L473" s="141"/>
      <c r="M473" s="161">
        <v>182910.28</v>
      </c>
      <c r="N473" s="161">
        <v>124000</v>
      </c>
      <c r="O473" s="161">
        <v>53000</v>
      </c>
      <c r="P473" s="161">
        <v>177000</v>
      </c>
      <c r="Q473" s="104">
        <f t="shared" si="29"/>
        <v>5910.2799999999988</v>
      </c>
      <c r="R473" s="104"/>
      <c r="S473" s="66">
        <f t="shared" si="30"/>
        <v>20870.062948000003</v>
      </c>
    </row>
    <row r="474" spans="1:19" ht="15" x14ac:dyDescent="0.25">
      <c r="A474" s="141" t="s">
        <v>148</v>
      </c>
      <c r="B474" s="141" t="s">
        <v>317</v>
      </c>
      <c r="C474" s="141" t="s">
        <v>62</v>
      </c>
      <c r="D474" s="142" t="s">
        <v>241</v>
      </c>
      <c r="E474" s="158" t="s">
        <v>369</v>
      </c>
      <c r="F474" s="142" t="s">
        <v>142</v>
      </c>
      <c r="G474" s="141">
        <v>102005</v>
      </c>
      <c r="H474" s="141" t="s">
        <v>112</v>
      </c>
      <c r="I474" s="141" t="s">
        <v>247</v>
      </c>
      <c r="J474" s="159" t="s">
        <v>248</v>
      </c>
      <c r="K474" s="160">
        <v>0</v>
      </c>
      <c r="L474" s="141"/>
      <c r="M474" s="161">
        <v>14117.73</v>
      </c>
      <c r="N474" s="161">
        <v>0</v>
      </c>
      <c r="O474" s="161">
        <v>0</v>
      </c>
      <c r="P474" s="161">
        <v>0</v>
      </c>
      <c r="Q474" s="104">
        <f t="shared" si="29"/>
        <v>14117.73</v>
      </c>
      <c r="R474" s="104"/>
      <c r="S474" s="66">
        <f t="shared" si="30"/>
        <v>1610.8329930000002</v>
      </c>
    </row>
    <row r="475" spans="1:19" ht="15" x14ac:dyDescent="0.25">
      <c r="A475" s="141" t="s">
        <v>148</v>
      </c>
      <c r="B475" s="141" t="s">
        <v>317</v>
      </c>
      <c r="C475" s="141" t="s">
        <v>62</v>
      </c>
      <c r="D475" s="142" t="s">
        <v>241</v>
      </c>
      <c r="E475" s="158" t="s">
        <v>369</v>
      </c>
      <c r="F475" s="142" t="s">
        <v>142</v>
      </c>
      <c r="G475" s="141">
        <v>102062</v>
      </c>
      <c r="H475" s="141" t="s">
        <v>113</v>
      </c>
      <c r="I475" s="141" t="s">
        <v>247</v>
      </c>
      <c r="J475" s="159" t="s">
        <v>248</v>
      </c>
      <c r="K475" s="160">
        <v>0</v>
      </c>
      <c r="L475" s="141"/>
      <c r="M475" s="161">
        <v>4913.03</v>
      </c>
      <c r="N475" s="161">
        <v>0</v>
      </c>
      <c r="O475" s="161">
        <v>0</v>
      </c>
      <c r="P475" s="161">
        <v>0</v>
      </c>
      <c r="Q475" s="104">
        <f t="shared" si="29"/>
        <v>4913.03</v>
      </c>
      <c r="R475" s="129"/>
      <c r="S475" s="66">
        <f t="shared" si="30"/>
        <v>560.57672300000002</v>
      </c>
    </row>
    <row r="476" spans="1:19" ht="15" x14ac:dyDescent="0.25">
      <c r="A476" s="141" t="s">
        <v>148</v>
      </c>
      <c r="B476" s="141" t="s">
        <v>317</v>
      </c>
      <c r="C476" s="141" t="s">
        <v>62</v>
      </c>
      <c r="D476" s="142" t="s">
        <v>241</v>
      </c>
      <c r="E476" s="158" t="s">
        <v>369</v>
      </c>
      <c r="F476" s="142" t="s">
        <v>142</v>
      </c>
      <c r="G476" s="141">
        <v>103001</v>
      </c>
      <c r="H476" s="141" t="s">
        <v>109</v>
      </c>
      <c r="I476" s="141" t="s">
        <v>247</v>
      </c>
      <c r="J476" s="159" t="s">
        <v>248</v>
      </c>
      <c r="K476" s="160">
        <v>0</v>
      </c>
      <c r="L476" s="141"/>
      <c r="M476" s="161">
        <v>14399.19</v>
      </c>
      <c r="N476" s="161">
        <v>0</v>
      </c>
      <c r="O476" s="161">
        <v>0</v>
      </c>
      <c r="P476" s="161">
        <v>0</v>
      </c>
      <c r="Q476" s="104">
        <f t="shared" si="29"/>
        <v>14399.19</v>
      </c>
      <c r="R476" s="129"/>
      <c r="S476" s="66">
        <f t="shared" si="30"/>
        <v>1642.9475790000001</v>
      </c>
    </row>
    <row r="477" spans="1:19" ht="15" x14ac:dyDescent="0.25">
      <c r="A477" s="141" t="s">
        <v>148</v>
      </c>
      <c r="B477" s="141" t="s">
        <v>317</v>
      </c>
      <c r="C477" s="141" t="s">
        <v>62</v>
      </c>
      <c r="D477" s="142" t="s">
        <v>241</v>
      </c>
      <c r="E477" s="158" t="s">
        <v>369</v>
      </c>
      <c r="F477" s="142" t="s">
        <v>142</v>
      </c>
      <c r="G477" s="141">
        <v>103001</v>
      </c>
      <c r="H477" s="141" t="s">
        <v>109</v>
      </c>
      <c r="I477" s="141" t="s">
        <v>247</v>
      </c>
      <c r="J477" s="159" t="s">
        <v>286</v>
      </c>
      <c r="K477" s="160">
        <v>0</v>
      </c>
      <c r="L477" s="141"/>
      <c r="M477" s="161">
        <v>9593.41</v>
      </c>
      <c r="N477" s="161">
        <v>0</v>
      </c>
      <c r="O477" s="161">
        <v>0</v>
      </c>
      <c r="P477" s="161">
        <v>0</v>
      </c>
      <c r="Q477" s="104">
        <f t="shared" si="29"/>
        <v>9593.41</v>
      </c>
      <c r="R477" s="129"/>
      <c r="S477" s="66">
        <f t="shared" si="30"/>
        <v>1094.6080810000001</v>
      </c>
    </row>
    <row r="478" spans="1:19" ht="15" x14ac:dyDescent="0.25">
      <c r="A478" s="141" t="s">
        <v>148</v>
      </c>
      <c r="B478" s="141" t="s">
        <v>317</v>
      </c>
      <c r="C478" s="141" t="s">
        <v>62</v>
      </c>
      <c r="D478" s="142" t="s">
        <v>241</v>
      </c>
      <c r="E478" s="158" t="s">
        <v>369</v>
      </c>
      <c r="F478" s="142" t="s">
        <v>142</v>
      </c>
      <c r="G478" s="141">
        <v>103062</v>
      </c>
      <c r="H478" s="141" t="s">
        <v>114</v>
      </c>
      <c r="I478" s="141" t="s">
        <v>247</v>
      </c>
      <c r="J478" s="159" t="s">
        <v>248</v>
      </c>
      <c r="K478" s="160">
        <v>0</v>
      </c>
      <c r="L478" s="141"/>
      <c r="M478" s="161">
        <v>716.8</v>
      </c>
      <c r="N478" s="161">
        <v>0</v>
      </c>
      <c r="O478" s="161">
        <v>0</v>
      </c>
      <c r="P478" s="161">
        <v>0</v>
      </c>
      <c r="Q478" s="104">
        <f t="shared" si="29"/>
        <v>716.8</v>
      </c>
      <c r="R478" s="104"/>
      <c r="S478" s="66">
        <f t="shared" si="30"/>
        <v>81.786879999999996</v>
      </c>
    </row>
    <row r="479" spans="1:19" ht="15" x14ac:dyDescent="0.25">
      <c r="A479" s="141" t="s">
        <v>148</v>
      </c>
      <c r="B479" s="141" t="s">
        <v>317</v>
      </c>
      <c r="C479" s="141" t="s">
        <v>62</v>
      </c>
      <c r="D479" s="142" t="s">
        <v>241</v>
      </c>
      <c r="E479" s="158" t="s">
        <v>369</v>
      </c>
      <c r="F479" s="142" t="s">
        <v>142</v>
      </c>
      <c r="G479" s="141">
        <v>103069</v>
      </c>
      <c r="H479" s="141" t="s">
        <v>214</v>
      </c>
      <c r="I479" s="141" t="s">
        <v>247</v>
      </c>
      <c r="J479" s="159" t="s">
        <v>248</v>
      </c>
      <c r="K479" s="160">
        <v>0</v>
      </c>
      <c r="L479" s="141"/>
      <c r="M479" s="161">
        <v>9275.02</v>
      </c>
      <c r="N479" s="161">
        <v>0</v>
      </c>
      <c r="O479" s="161">
        <v>0</v>
      </c>
      <c r="P479" s="161">
        <v>0</v>
      </c>
      <c r="Q479" s="104">
        <f t="shared" si="29"/>
        <v>9275.02</v>
      </c>
      <c r="R479" s="104"/>
      <c r="S479" s="66">
        <f t="shared" si="30"/>
        <v>1058.2797820000001</v>
      </c>
    </row>
    <row r="480" spans="1:19" ht="15" x14ac:dyDescent="0.25">
      <c r="A480" s="141" t="s">
        <v>148</v>
      </c>
      <c r="B480" s="141" t="s">
        <v>317</v>
      </c>
      <c r="C480" s="141" t="s">
        <v>62</v>
      </c>
      <c r="D480" s="142" t="s">
        <v>241</v>
      </c>
      <c r="E480" s="158" t="s">
        <v>369</v>
      </c>
      <c r="F480" s="142" t="s">
        <v>142</v>
      </c>
      <c r="G480" s="141">
        <v>104000</v>
      </c>
      <c r="H480" s="141" t="s">
        <v>110</v>
      </c>
      <c r="I480" s="141" t="s">
        <v>247</v>
      </c>
      <c r="J480" s="159" t="s">
        <v>248</v>
      </c>
      <c r="K480" s="160">
        <v>0</v>
      </c>
      <c r="L480" s="141"/>
      <c r="M480" s="161">
        <v>31121.64</v>
      </c>
      <c r="N480" s="161">
        <v>39000</v>
      </c>
      <c r="O480" s="161">
        <v>3000</v>
      </c>
      <c r="P480" s="161">
        <v>42000</v>
      </c>
      <c r="Q480" s="104">
        <f t="shared" si="29"/>
        <v>-10878.36</v>
      </c>
      <c r="R480" s="129"/>
      <c r="S480" s="66">
        <f t="shared" si="30"/>
        <v>3550.9791240000004</v>
      </c>
    </row>
    <row r="481" spans="1:19" ht="15" x14ac:dyDescent="0.25">
      <c r="A481" s="141" t="s">
        <v>148</v>
      </c>
      <c r="B481" s="141" t="s">
        <v>317</v>
      </c>
      <c r="C481" s="141" t="s">
        <v>62</v>
      </c>
      <c r="D481" s="142" t="s">
        <v>241</v>
      </c>
      <c r="E481" s="158" t="s">
        <v>369</v>
      </c>
      <c r="F481" s="142" t="s">
        <v>142</v>
      </c>
      <c r="G481" s="141">
        <v>105003</v>
      </c>
      <c r="H481" s="141" t="s">
        <v>268</v>
      </c>
      <c r="I481" s="141" t="s">
        <v>247</v>
      </c>
      <c r="J481" s="159" t="s">
        <v>248</v>
      </c>
      <c r="K481" s="160">
        <v>0</v>
      </c>
      <c r="L481" s="141"/>
      <c r="M481" s="163">
        <v>145603.9</v>
      </c>
      <c r="N481" s="161">
        <v>0</v>
      </c>
      <c r="O481" s="161">
        <v>0</v>
      </c>
      <c r="P481" s="161">
        <v>0</v>
      </c>
      <c r="Q481" s="104">
        <f t="shared" si="29"/>
        <v>145603.9</v>
      </c>
      <c r="R481" s="129"/>
      <c r="S481" s="66">
        <f t="shared" si="30"/>
        <v>16613.404989999999</v>
      </c>
    </row>
    <row r="482" spans="1:19" ht="15" x14ac:dyDescent="0.25">
      <c r="A482" s="141" t="s">
        <v>148</v>
      </c>
      <c r="B482" s="141" t="s">
        <v>317</v>
      </c>
      <c r="C482" s="141" t="s">
        <v>62</v>
      </c>
      <c r="D482" s="142" t="s">
        <v>241</v>
      </c>
      <c r="E482" s="158" t="s">
        <v>369</v>
      </c>
      <c r="F482" s="142" t="s">
        <v>142</v>
      </c>
      <c r="G482" s="141">
        <v>105019</v>
      </c>
      <c r="H482" s="141" t="s">
        <v>111</v>
      </c>
      <c r="I482" s="141" t="s">
        <v>247</v>
      </c>
      <c r="J482" s="159" t="s">
        <v>248</v>
      </c>
      <c r="K482" s="160">
        <v>0</v>
      </c>
      <c r="L482" s="141"/>
      <c r="M482" s="161">
        <v>606.62</v>
      </c>
      <c r="N482" s="161">
        <v>0</v>
      </c>
      <c r="O482" s="161">
        <v>0</v>
      </c>
      <c r="P482" s="161">
        <v>0</v>
      </c>
      <c r="Q482" s="104">
        <f t="shared" si="29"/>
        <v>606.62</v>
      </c>
      <c r="R482" s="104"/>
      <c r="S482" s="66">
        <f t="shared" si="30"/>
        <v>69.215342000000007</v>
      </c>
    </row>
    <row r="483" spans="1:19" ht="15" x14ac:dyDescent="0.25">
      <c r="A483" s="141" t="s">
        <v>148</v>
      </c>
      <c r="B483" s="141" t="s">
        <v>317</v>
      </c>
      <c r="C483" s="141" t="s">
        <v>62</v>
      </c>
      <c r="D483" s="142" t="s">
        <v>241</v>
      </c>
      <c r="E483" s="158" t="s">
        <v>369</v>
      </c>
      <c r="F483" s="142" t="s">
        <v>142</v>
      </c>
      <c r="G483" s="141">
        <v>105098</v>
      </c>
      <c r="H483" s="141" t="s">
        <v>265</v>
      </c>
      <c r="I483" s="141" t="s">
        <v>247</v>
      </c>
      <c r="J483" s="159" t="s">
        <v>302</v>
      </c>
      <c r="K483" s="160">
        <v>0</v>
      </c>
      <c r="L483" s="141"/>
      <c r="M483" s="161">
        <v>-4026</v>
      </c>
      <c r="N483" s="161">
        <v>0</v>
      </c>
      <c r="O483" s="161">
        <v>0</v>
      </c>
      <c r="P483" s="161">
        <v>0</v>
      </c>
      <c r="Q483" s="104">
        <f t="shared" si="29"/>
        <v>-4026</v>
      </c>
      <c r="R483" s="104"/>
      <c r="S483" s="66">
        <f t="shared" si="30"/>
        <v>-459.36660000000001</v>
      </c>
    </row>
    <row r="484" spans="1:19" ht="15" x14ac:dyDescent="0.25">
      <c r="A484" s="141" t="s">
        <v>148</v>
      </c>
      <c r="B484" s="141" t="s">
        <v>317</v>
      </c>
      <c r="C484" s="141" t="s">
        <v>62</v>
      </c>
      <c r="D484" s="142" t="s">
        <v>241</v>
      </c>
      <c r="E484" s="158" t="s">
        <v>369</v>
      </c>
      <c r="F484" s="142" t="s">
        <v>142</v>
      </c>
      <c r="G484" s="141">
        <v>105099</v>
      </c>
      <c r="H484" s="141" t="s">
        <v>103</v>
      </c>
      <c r="I484" s="141" t="s">
        <v>247</v>
      </c>
      <c r="J484" s="159" t="s">
        <v>303</v>
      </c>
      <c r="K484" s="160">
        <v>0</v>
      </c>
      <c r="L484" s="141"/>
      <c r="M484" s="161">
        <v>4026</v>
      </c>
      <c r="N484" s="161">
        <v>0</v>
      </c>
      <c r="O484" s="161">
        <v>0</v>
      </c>
      <c r="P484" s="161">
        <v>0</v>
      </c>
      <c r="Q484" s="104">
        <f t="shared" si="29"/>
        <v>4026</v>
      </c>
      <c r="R484" s="104"/>
      <c r="S484" s="66">
        <f t="shared" si="30"/>
        <v>459.36660000000001</v>
      </c>
    </row>
    <row r="485" spans="1:19" ht="15" x14ac:dyDescent="0.25">
      <c r="A485" s="141" t="s">
        <v>148</v>
      </c>
      <c r="B485" s="141" t="s">
        <v>317</v>
      </c>
      <c r="C485" s="141" t="s">
        <v>62</v>
      </c>
      <c r="D485" s="142" t="s">
        <v>241</v>
      </c>
      <c r="E485" s="158" t="s">
        <v>369</v>
      </c>
      <c r="F485" s="142" t="s">
        <v>142</v>
      </c>
      <c r="G485" s="144">
        <v>109001</v>
      </c>
      <c r="H485" s="141" t="s">
        <v>101</v>
      </c>
      <c r="I485" s="141" t="s">
        <v>247</v>
      </c>
      <c r="J485" s="159" t="s">
        <v>248</v>
      </c>
      <c r="K485" s="160">
        <v>0</v>
      </c>
      <c r="L485" s="141"/>
      <c r="M485" s="161">
        <v>557549.81999999995</v>
      </c>
      <c r="N485" s="161">
        <v>510000</v>
      </c>
      <c r="O485" s="161">
        <v>25000</v>
      </c>
      <c r="P485" s="161">
        <v>535000</v>
      </c>
      <c r="Q485" s="104">
        <f t="shared" si="29"/>
        <v>22549.819999999949</v>
      </c>
      <c r="R485" s="129">
        <f t="shared" ref="R485:R486" si="32">M485*-1.141</f>
        <v>-636164.34461999999</v>
      </c>
    </row>
    <row r="486" spans="1:19" ht="15" x14ac:dyDescent="0.25">
      <c r="A486" s="141" t="s">
        <v>148</v>
      </c>
      <c r="B486" s="141" t="s">
        <v>317</v>
      </c>
      <c r="C486" s="141" t="s">
        <v>62</v>
      </c>
      <c r="D486" s="142" t="s">
        <v>241</v>
      </c>
      <c r="E486" s="158" t="s">
        <v>369</v>
      </c>
      <c r="F486" s="142" t="s">
        <v>142</v>
      </c>
      <c r="G486" s="144">
        <v>109001</v>
      </c>
      <c r="H486" s="141" t="s">
        <v>101</v>
      </c>
      <c r="I486" s="141" t="s">
        <v>247</v>
      </c>
      <c r="J486" s="159" t="s">
        <v>286</v>
      </c>
      <c r="K486" s="160">
        <v>0</v>
      </c>
      <c r="L486" s="141"/>
      <c r="M486" s="161">
        <v>1071.71</v>
      </c>
      <c r="N486" s="161">
        <v>0</v>
      </c>
      <c r="O486" s="161">
        <v>0</v>
      </c>
      <c r="P486" s="161">
        <v>0</v>
      </c>
      <c r="Q486" s="104">
        <f t="shared" si="29"/>
        <v>1071.71</v>
      </c>
      <c r="R486" s="129">
        <f t="shared" si="32"/>
        <v>-1222.8211100000001</v>
      </c>
    </row>
    <row r="487" spans="1:19" ht="15" x14ac:dyDescent="0.25">
      <c r="A487" s="141" t="s">
        <v>148</v>
      </c>
      <c r="B487" s="141" t="s">
        <v>317</v>
      </c>
      <c r="C487" s="141" t="s">
        <v>62</v>
      </c>
      <c r="D487" s="142" t="s">
        <v>241</v>
      </c>
      <c r="E487" s="158" t="s">
        <v>369</v>
      </c>
      <c r="F487" s="142" t="s">
        <v>142</v>
      </c>
      <c r="G487" s="144">
        <v>109901</v>
      </c>
      <c r="H487" s="141" t="s">
        <v>102</v>
      </c>
      <c r="I487" s="141" t="s">
        <v>247</v>
      </c>
      <c r="J487" s="159" t="s">
        <v>248</v>
      </c>
      <c r="K487" s="160">
        <v>0</v>
      </c>
      <c r="L487" s="141"/>
      <c r="M487" s="161">
        <v>859310.46</v>
      </c>
      <c r="N487" s="161">
        <v>836000</v>
      </c>
      <c r="O487" s="161">
        <v>42000</v>
      </c>
      <c r="P487" s="161">
        <v>878000</v>
      </c>
      <c r="Q487" s="104">
        <f t="shared" si="29"/>
        <v>-18689.540000000037</v>
      </c>
      <c r="R487" s="104"/>
    </row>
    <row r="488" spans="1:19" ht="15" x14ac:dyDescent="0.25">
      <c r="A488" s="141" t="s">
        <v>148</v>
      </c>
      <c r="B488" s="141" t="s">
        <v>317</v>
      </c>
      <c r="C488" s="141" t="s">
        <v>62</v>
      </c>
      <c r="D488" s="142" t="s">
        <v>241</v>
      </c>
      <c r="E488" s="158" t="s">
        <v>369</v>
      </c>
      <c r="F488" s="142" t="s">
        <v>142</v>
      </c>
      <c r="G488" s="144">
        <v>109901</v>
      </c>
      <c r="H488" s="141" t="s">
        <v>102</v>
      </c>
      <c r="I488" s="141" t="s">
        <v>247</v>
      </c>
      <c r="J488" s="159" t="s">
        <v>303</v>
      </c>
      <c r="K488" s="160">
        <v>0</v>
      </c>
      <c r="L488" s="141"/>
      <c r="M488" s="161">
        <v>567.71</v>
      </c>
      <c r="N488" s="161">
        <v>0</v>
      </c>
      <c r="O488" s="161">
        <v>0</v>
      </c>
      <c r="P488" s="161">
        <v>0</v>
      </c>
      <c r="Q488" s="104">
        <f t="shared" si="29"/>
        <v>567.71</v>
      </c>
      <c r="R488" s="104"/>
    </row>
    <row r="489" spans="1:19" ht="15" x14ac:dyDescent="0.25">
      <c r="A489" s="141" t="s">
        <v>148</v>
      </c>
      <c r="B489" s="141" t="s">
        <v>317</v>
      </c>
      <c r="C489" s="141" t="s">
        <v>62</v>
      </c>
      <c r="D489" s="142" t="s">
        <v>241</v>
      </c>
      <c r="E489" s="158" t="s">
        <v>369</v>
      </c>
      <c r="F489" s="142" t="s">
        <v>142</v>
      </c>
      <c r="G489" s="144">
        <v>109901</v>
      </c>
      <c r="H489" s="141" t="s">
        <v>102</v>
      </c>
      <c r="I489" s="141" t="s">
        <v>247</v>
      </c>
      <c r="J489" s="159" t="s">
        <v>286</v>
      </c>
      <c r="K489" s="160">
        <v>0</v>
      </c>
      <c r="L489" s="141"/>
      <c r="M489" s="161">
        <v>1970.92</v>
      </c>
      <c r="N489" s="161">
        <v>0</v>
      </c>
      <c r="O489" s="161">
        <v>0</v>
      </c>
      <c r="P489" s="161">
        <v>0</v>
      </c>
      <c r="Q489" s="104">
        <f t="shared" si="29"/>
        <v>1970.92</v>
      </c>
      <c r="R489" s="104"/>
    </row>
    <row r="490" spans="1:19" ht="15" x14ac:dyDescent="0.25">
      <c r="A490" s="141" t="s">
        <v>148</v>
      </c>
      <c r="B490" s="141" t="s">
        <v>318</v>
      </c>
      <c r="C490" s="141" t="s">
        <v>63</v>
      </c>
      <c r="D490" s="142" t="s">
        <v>241</v>
      </c>
      <c r="E490" s="158" t="s">
        <v>369</v>
      </c>
      <c r="F490" s="142" t="s">
        <v>142</v>
      </c>
      <c r="G490" s="141">
        <v>101001</v>
      </c>
      <c r="H490" s="141" t="s">
        <v>104</v>
      </c>
      <c r="I490" s="141" t="s">
        <v>247</v>
      </c>
      <c r="J490" s="159" t="s">
        <v>248</v>
      </c>
      <c r="K490" s="160">
        <v>0</v>
      </c>
      <c r="L490" s="141"/>
      <c r="M490" s="161">
        <v>5929917.5300000003</v>
      </c>
      <c r="N490" s="161">
        <v>6064000</v>
      </c>
      <c r="O490" s="161">
        <v>58000</v>
      </c>
      <c r="P490" s="161">
        <v>6122000</v>
      </c>
      <c r="Q490" s="104">
        <f t="shared" si="29"/>
        <v>-192082.46999999974</v>
      </c>
      <c r="R490" s="104"/>
      <c r="S490" s="66">
        <f t="shared" si="30"/>
        <v>676603.590173</v>
      </c>
    </row>
    <row r="491" spans="1:19" ht="15" x14ac:dyDescent="0.25">
      <c r="A491" s="141" t="s">
        <v>148</v>
      </c>
      <c r="B491" s="141" t="s">
        <v>318</v>
      </c>
      <c r="C491" s="141" t="s">
        <v>63</v>
      </c>
      <c r="D491" s="142" t="s">
        <v>241</v>
      </c>
      <c r="E491" s="158" t="s">
        <v>369</v>
      </c>
      <c r="F491" s="142" t="s">
        <v>142</v>
      </c>
      <c r="G491" s="141">
        <v>101002</v>
      </c>
      <c r="H491" s="141" t="s">
        <v>105</v>
      </c>
      <c r="I491" s="141" t="s">
        <v>247</v>
      </c>
      <c r="J491" s="159" t="s">
        <v>248</v>
      </c>
      <c r="K491" s="160">
        <v>0</v>
      </c>
      <c r="L491" s="141"/>
      <c r="M491" s="161">
        <v>-30339.05</v>
      </c>
      <c r="N491" s="161">
        <v>0</v>
      </c>
      <c r="O491" s="161">
        <v>0</v>
      </c>
      <c r="P491" s="161">
        <v>0</v>
      </c>
      <c r="Q491" s="104">
        <f t="shared" si="29"/>
        <v>-30339.05</v>
      </c>
      <c r="R491" s="104"/>
      <c r="S491" s="66">
        <f t="shared" si="30"/>
        <v>-3461.6856050000001</v>
      </c>
    </row>
    <row r="492" spans="1:19" ht="15" x14ac:dyDescent="0.25">
      <c r="A492" s="141" t="s">
        <v>148</v>
      </c>
      <c r="B492" s="141" t="s">
        <v>318</v>
      </c>
      <c r="C492" s="141" t="s">
        <v>63</v>
      </c>
      <c r="D492" s="142" t="s">
        <v>241</v>
      </c>
      <c r="E492" s="158" t="s">
        <v>369</v>
      </c>
      <c r="F492" s="142" t="s">
        <v>142</v>
      </c>
      <c r="G492" s="141">
        <v>101039</v>
      </c>
      <c r="H492" s="141" t="s">
        <v>107</v>
      </c>
      <c r="I492" s="141" t="s">
        <v>247</v>
      </c>
      <c r="J492" s="159" t="s">
        <v>248</v>
      </c>
      <c r="K492" s="160">
        <v>0</v>
      </c>
      <c r="L492" s="141"/>
      <c r="M492" s="161">
        <v>198826.44</v>
      </c>
      <c r="N492" s="161">
        <v>0</v>
      </c>
      <c r="O492" s="161">
        <v>0</v>
      </c>
      <c r="P492" s="161">
        <v>0</v>
      </c>
      <c r="Q492" s="104">
        <f t="shared" si="29"/>
        <v>198826.44</v>
      </c>
      <c r="R492" s="104"/>
      <c r="S492" s="66">
        <f t="shared" si="30"/>
        <v>22686.096804000001</v>
      </c>
    </row>
    <row r="493" spans="1:19" ht="15" x14ac:dyDescent="0.25">
      <c r="A493" s="141" t="s">
        <v>148</v>
      </c>
      <c r="B493" s="141" t="s">
        <v>318</v>
      </c>
      <c r="C493" s="141" t="s">
        <v>63</v>
      </c>
      <c r="D493" s="142" t="s">
        <v>241</v>
      </c>
      <c r="E493" s="158" t="s">
        <v>369</v>
      </c>
      <c r="F493" s="142" t="s">
        <v>142</v>
      </c>
      <c r="G493" s="141">
        <v>102002</v>
      </c>
      <c r="H493" s="141" t="s">
        <v>108</v>
      </c>
      <c r="I493" s="141" t="s">
        <v>247</v>
      </c>
      <c r="J493" s="159" t="s">
        <v>248</v>
      </c>
      <c r="K493" s="160">
        <v>0</v>
      </c>
      <c r="L493" s="141"/>
      <c r="M493" s="161">
        <v>0</v>
      </c>
      <c r="N493" s="161">
        <v>0</v>
      </c>
      <c r="O493" s="161">
        <v>0</v>
      </c>
      <c r="P493" s="161">
        <v>0</v>
      </c>
      <c r="Q493" s="104">
        <f t="shared" si="29"/>
        <v>0</v>
      </c>
      <c r="R493" s="104"/>
      <c r="S493" s="66">
        <f t="shared" si="30"/>
        <v>0</v>
      </c>
    </row>
    <row r="494" spans="1:19" ht="15" x14ac:dyDescent="0.25">
      <c r="A494" s="141" t="s">
        <v>148</v>
      </c>
      <c r="B494" s="141" t="s">
        <v>318</v>
      </c>
      <c r="C494" s="141" t="s">
        <v>63</v>
      </c>
      <c r="D494" s="142" t="s">
        <v>241</v>
      </c>
      <c r="E494" s="158" t="s">
        <v>369</v>
      </c>
      <c r="F494" s="142" t="s">
        <v>142</v>
      </c>
      <c r="G494" s="141">
        <v>102002</v>
      </c>
      <c r="H494" s="141" t="s">
        <v>108</v>
      </c>
      <c r="I494" s="141" t="s">
        <v>247</v>
      </c>
      <c r="J494" s="159" t="s">
        <v>297</v>
      </c>
      <c r="K494" s="160">
        <v>0</v>
      </c>
      <c r="L494" s="141"/>
      <c r="M494" s="161">
        <v>18365.439999999999</v>
      </c>
      <c r="N494" s="161">
        <v>0</v>
      </c>
      <c r="O494" s="161">
        <v>0</v>
      </c>
      <c r="P494" s="161">
        <v>0</v>
      </c>
      <c r="Q494" s="104">
        <f t="shared" si="29"/>
        <v>18365.439999999999</v>
      </c>
      <c r="R494" s="104"/>
      <c r="S494" s="66">
        <f t="shared" si="30"/>
        <v>2095.4967039999997</v>
      </c>
    </row>
    <row r="495" spans="1:19" ht="15" x14ac:dyDescent="0.25">
      <c r="A495" s="141" t="s">
        <v>148</v>
      </c>
      <c r="B495" s="141" t="s">
        <v>318</v>
      </c>
      <c r="C495" s="141" t="s">
        <v>63</v>
      </c>
      <c r="D495" s="142" t="s">
        <v>241</v>
      </c>
      <c r="E495" s="158" t="s">
        <v>369</v>
      </c>
      <c r="F495" s="142" t="s">
        <v>142</v>
      </c>
      <c r="G495" s="141">
        <v>102002</v>
      </c>
      <c r="H495" s="141" t="s">
        <v>108</v>
      </c>
      <c r="I495" s="141" t="s">
        <v>247</v>
      </c>
      <c r="J495" s="159" t="s">
        <v>287</v>
      </c>
      <c r="K495" s="160">
        <v>0</v>
      </c>
      <c r="L495" s="141"/>
      <c r="M495" s="161">
        <v>32862.36</v>
      </c>
      <c r="N495" s="161">
        <v>0</v>
      </c>
      <c r="O495" s="161">
        <v>40000</v>
      </c>
      <c r="P495" s="161">
        <v>40000</v>
      </c>
      <c r="Q495" s="104">
        <f t="shared" si="29"/>
        <v>-7137.6399999999994</v>
      </c>
      <c r="R495" s="104"/>
      <c r="S495" s="66">
        <f t="shared" si="30"/>
        <v>3749.5952760000005</v>
      </c>
    </row>
    <row r="496" spans="1:19" ht="15" x14ac:dyDescent="0.25">
      <c r="A496" s="141" t="s">
        <v>148</v>
      </c>
      <c r="B496" s="141" t="s">
        <v>318</v>
      </c>
      <c r="C496" s="141" t="s">
        <v>63</v>
      </c>
      <c r="D496" s="142" t="s">
        <v>241</v>
      </c>
      <c r="E496" s="158" t="s">
        <v>369</v>
      </c>
      <c r="F496" s="142" t="s">
        <v>142</v>
      </c>
      <c r="G496" s="141">
        <v>102003</v>
      </c>
      <c r="H496" s="141" t="s">
        <v>106</v>
      </c>
      <c r="I496" s="141" t="s">
        <v>247</v>
      </c>
      <c r="J496" s="159" t="s">
        <v>248</v>
      </c>
      <c r="K496" s="160">
        <v>0</v>
      </c>
      <c r="L496" s="141"/>
      <c r="M496" s="161">
        <v>338292.99</v>
      </c>
      <c r="N496" s="161">
        <v>145000</v>
      </c>
      <c r="O496" s="161">
        <v>53000</v>
      </c>
      <c r="P496" s="161">
        <v>198000</v>
      </c>
      <c r="Q496" s="104">
        <f t="shared" si="29"/>
        <v>140292.99</v>
      </c>
      <c r="R496" s="104"/>
      <c r="S496" s="66">
        <f t="shared" si="30"/>
        <v>38599.230158999999</v>
      </c>
    </row>
    <row r="497" spans="1:19" ht="15" x14ac:dyDescent="0.25">
      <c r="A497" s="141" t="s">
        <v>148</v>
      </c>
      <c r="B497" s="141" t="s">
        <v>318</v>
      </c>
      <c r="C497" s="141" t="s">
        <v>63</v>
      </c>
      <c r="D497" s="142" t="s">
        <v>241</v>
      </c>
      <c r="E497" s="158" t="s">
        <v>369</v>
      </c>
      <c r="F497" s="142" t="s">
        <v>142</v>
      </c>
      <c r="G497" s="141">
        <v>102003</v>
      </c>
      <c r="H497" s="141" t="s">
        <v>106</v>
      </c>
      <c r="I497" s="141" t="s">
        <v>247</v>
      </c>
      <c r="J497" s="159" t="s">
        <v>297</v>
      </c>
      <c r="K497" s="160">
        <v>0</v>
      </c>
      <c r="L497" s="141"/>
      <c r="M497" s="161">
        <v>1512.84</v>
      </c>
      <c r="N497" s="161">
        <v>0</v>
      </c>
      <c r="O497" s="161">
        <v>0</v>
      </c>
      <c r="P497" s="161">
        <v>0</v>
      </c>
      <c r="Q497" s="104">
        <f t="shared" si="29"/>
        <v>1512.84</v>
      </c>
      <c r="R497" s="104"/>
      <c r="S497" s="66">
        <f t="shared" si="30"/>
        <v>172.61504399999998</v>
      </c>
    </row>
    <row r="498" spans="1:19" ht="15" x14ac:dyDescent="0.25">
      <c r="A498" s="141" t="s">
        <v>148</v>
      </c>
      <c r="B498" s="141" t="s">
        <v>318</v>
      </c>
      <c r="C498" s="141" t="s">
        <v>63</v>
      </c>
      <c r="D498" s="142" t="s">
        <v>241</v>
      </c>
      <c r="E498" s="158" t="s">
        <v>369</v>
      </c>
      <c r="F498" s="142" t="s">
        <v>142</v>
      </c>
      <c r="G498" s="141">
        <v>102003</v>
      </c>
      <c r="H498" s="141" t="s">
        <v>106</v>
      </c>
      <c r="I498" s="141" t="s">
        <v>247</v>
      </c>
      <c r="J498" s="159" t="s">
        <v>287</v>
      </c>
      <c r="K498" s="160">
        <v>0</v>
      </c>
      <c r="L498" s="141"/>
      <c r="M498" s="161">
        <v>958.14</v>
      </c>
      <c r="N498" s="161">
        <v>0</v>
      </c>
      <c r="O498" s="161">
        <v>0</v>
      </c>
      <c r="P498" s="161">
        <v>0</v>
      </c>
      <c r="Q498" s="104">
        <f t="shared" si="29"/>
        <v>958.14</v>
      </c>
      <c r="R498" s="104"/>
      <c r="S498" s="66">
        <f t="shared" si="30"/>
        <v>109.32377400000001</v>
      </c>
    </row>
    <row r="499" spans="1:19" ht="15" x14ac:dyDescent="0.25">
      <c r="A499" s="141" t="s">
        <v>148</v>
      </c>
      <c r="B499" s="141" t="s">
        <v>318</v>
      </c>
      <c r="C499" s="141" t="s">
        <v>63</v>
      </c>
      <c r="D499" s="142" t="s">
        <v>241</v>
      </c>
      <c r="E499" s="158" t="s">
        <v>369</v>
      </c>
      <c r="F499" s="142" t="s">
        <v>142</v>
      </c>
      <c r="G499" s="141">
        <v>102003</v>
      </c>
      <c r="H499" s="141" t="s">
        <v>106</v>
      </c>
      <c r="I499" s="141" t="s">
        <v>247</v>
      </c>
      <c r="J499" s="159" t="s">
        <v>301</v>
      </c>
      <c r="K499" s="160">
        <v>0</v>
      </c>
      <c r="L499" s="141"/>
      <c r="M499" s="161">
        <v>0</v>
      </c>
      <c r="N499" s="161">
        <v>4000</v>
      </c>
      <c r="O499" s="161">
        <v>-4000</v>
      </c>
      <c r="P499" s="161">
        <v>0</v>
      </c>
      <c r="Q499" s="104">
        <f t="shared" si="29"/>
        <v>0</v>
      </c>
      <c r="R499" s="104"/>
      <c r="S499" s="66">
        <f t="shared" si="30"/>
        <v>0</v>
      </c>
    </row>
    <row r="500" spans="1:19" ht="15" x14ac:dyDescent="0.25">
      <c r="A500" s="141" t="s">
        <v>148</v>
      </c>
      <c r="B500" s="141" t="s">
        <v>318</v>
      </c>
      <c r="C500" s="141" t="s">
        <v>63</v>
      </c>
      <c r="D500" s="142" t="s">
        <v>241</v>
      </c>
      <c r="E500" s="158" t="s">
        <v>369</v>
      </c>
      <c r="F500" s="142" t="s">
        <v>142</v>
      </c>
      <c r="G500" s="141">
        <v>102005</v>
      </c>
      <c r="H500" s="141" t="s">
        <v>112</v>
      </c>
      <c r="I500" s="141" t="s">
        <v>247</v>
      </c>
      <c r="J500" s="159" t="s">
        <v>248</v>
      </c>
      <c r="K500" s="160">
        <v>0</v>
      </c>
      <c r="L500" s="141"/>
      <c r="M500" s="161">
        <v>18432.39</v>
      </c>
      <c r="N500" s="161">
        <v>0</v>
      </c>
      <c r="O500" s="161">
        <v>0</v>
      </c>
      <c r="P500" s="161">
        <v>0</v>
      </c>
      <c r="Q500" s="104">
        <f t="shared" si="29"/>
        <v>18432.39</v>
      </c>
      <c r="R500" s="104"/>
      <c r="S500" s="66">
        <f t="shared" si="30"/>
        <v>2103.1356989999999</v>
      </c>
    </row>
    <row r="501" spans="1:19" ht="15" x14ac:dyDescent="0.25">
      <c r="A501" s="141" t="s">
        <v>148</v>
      </c>
      <c r="B501" s="141" t="s">
        <v>318</v>
      </c>
      <c r="C501" s="141" t="s">
        <v>63</v>
      </c>
      <c r="D501" s="142" t="s">
        <v>241</v>
      </c>
      <c r="E501" s="158" t="s">
        <v>369</v>
      </c>
      <c r="F501" s="142" t="s">
        <v>142</v>
      </c>
      <c r="G501" s="141">
        <v>102062</v>
      </c>
      <c r="H501" s="141" t="s">
        <v>113</v>
      </c>
      <c r="I501" s="141" t="s">
        <v>247</v>
      </c>
      <c r="J501" s="159" t="s">
        <v>248</v>
      </c>
      <c r="K501" s="160">
        <v>0</v>
      </c>
      <c r="L501" s="141"/>
      <c r="M501" s="161">
        <v>4730.88</v>
      </c>
      <c r="N501" s="161">
        <v>0</v>
      </c>
      <c r="O501" s="161">
        <v>0</v>
      </c>
      <c r="P501" s="161">
        <v>0</v>
      </c>
      <c r="Q501" s="104">
        <f t="shared" si="29"/>
        <v>4730.88</v>
      </c>
      <c r="R501" s="104"/>
      <c r="S501" s="66">
        <f t="shared" si="30"/>
        <v>539.793408</v>
      </c>
    </row>
    <row r="502" spans="1:19" ht="15" x14ac:dyDescent="0.25">
      <c r="A502" s="141" t="s">
        <v>148</v>
      </c>
      <c r="B502" s="141" t="s">
        <v>318</v>
      </c>
      <c r="C502" s="141" t="s">
        <v>63</v>
      </c>
      <c r="D502" s="142" t="s">
        <v>241</v>
      </c>
      <c r="E502" s="158" t="s">
        <v>369</v>
      </c>
      <c r="F502" s="142" t="s">
        <v>142</v>
      </c>
      <c r="G502" s="141">
        <v>103001</v>
      </c>
      <c r="H502" s="141" t="s">
        <v>109</v>
      </c>
      <c r="I502" s="141" t="s">
        <v>247</v>
      </c>
      <c r="J502" s="159" t="s">
        <v>248</v>
      </c>
      <c r="K502" s="160">
        <v>0</v>
      </c>
      <c r="L502" s="141"/>
      <c r="M502" s="161">
        <v>8262.94</v>
      </c>
      <c r="N502" s="161">
        <v>0</v>
      </c>
      <c r="O502" s="161">
        <v>0</v>
      </c>
      <c r="P502" s="161">
        <v>0</v>
      </c>
      <c r="Q502" s="104">
        <f t="shared" si="29"/>
        <v>8262.94</v>
      </c>
      <c r="R502" s="104"/>
      <c r="S502" s="66">
        <f t="shared" si="30"/>
        <v>942.80145400000015</v>
      </c>
    </row>
    <row r="503" spans="1:19" ht="15" x14ac:dyDescent="0.25">
      <c r="A503" s="141" t="s">
        <v>148</v>
      </c>
      <c r="B503" s="141" t="s">
        <v>318</v>
      </c>
      <c r="C503" s="141" t="s">
        <v>63</v>
      </c>
      <c r="D503" s="142" t="s">
        <v>241</v>
      </c>
      <c r="E503" s="158" t="s">
        <v>369</v>
      </c>
      <c r="F503" s="142" t="s">
        <v>142</v>
      </c>
      <c r="G503" s="141">
        <v>103001</v>
      </c>
      <c r="H503" s="141" t="s">
        <v>109</v>
      </c>
      <c r="I503" s="141" t="s">
        <v>247</v>
      </c>
      <c r="J503" s="159" t="s">
        <v>287</v>
      </c>
      <c r="K503" s="160">
        <v>0</v>
      </c>
      <c r="L503" s="141"/>
      <c r="M503" s="161">
        <v>5479.23</v>
      </c>
      <c r="N503" s="161">
        <v>0</v>
      </c>
      <c r="O503" s="161">
        <v>0</v>
      </c>
      <c r="P503" s="161">
        <v>0</v>
      </c>
      <c r="Q503" s="104">
        <f t="shared" si="29"/>
        <v>5479.23</v>
      </c>
      <c r="R503" s="104"/>
      <c r="S503" s="66">
        <f t="shared" si="30"/>
        <v>625.18014300000004</v>
      </c>
    </row>
    <row r="504" spans="1:19" ht="15" x14ac:dyDescent="0.25">
      <c r="A504" s="141" t="s">
        <v>148</v>
      </c>
      <c r="B504" s="141" t="s">
        <v>318</v>
      </c>
      <c r="C504" s="141" t="s">
        <v>63</v>
      </c>
      <c r="D504" s="142" t="s">
        <v>241</v>
      </c>
      <c r="E504" s="158" t="s">
        <v>369</v>
      </c>
      <c r="F504" s="142" t="s">
        <v>142</v>
      </c>
      <c r="G504" s="141">
        <v>103062</v>
      </c>
      <c r="H504" s="141" t="s">
        <v>114</v>
      </c>
      <c r="I504" s="141" t="s">
        <v>247</v>
      </c>
      <c r="J504" s="159" t="s">
        <v>248</v>
      </c>
      <c r="K504" s="160">
        <v>0</v>
      </c>
      <c r="L504" s="141"/>
      <c r="M504" s="161">
        <v>537.6</v>
      </c>
      <c r="N504" s="161">
        <v>0</v>
      </c>
      <c r="O504" s="161">
        <v>0</v>
      </c>
      <c r="P504" s="161">
        <v>0</v>
      </c>
      <c r="Q504" s="104">
        <f t="shared" si="29"/>
        <v>537.6</v>
      </c>
      <c r="R504" s="129"/>
      <c r="S504" s="66">
        <f t="shared" si="30"/>
        <v>61.340160000000004</v>
      </c>
    </row>
    <row r="505" spans="1:19" ht="15" x14ac:dyDescent="0.25">
      <c r="A505" s="141" t="s">
        <v>148</v>
      </c>
      <c r="B505" s="141" t="s">
        <v>318</v>
      </c>
      <c r="C505" s="141" t="s">
        <v>63</v>
      </c>
      <c r="D505" s="142" t="s">
        <v>241</v>
      </c>
      <c r="E505" s="158" t="s">
        <v>369</v>
      </c>
      <c r="F505" s="142" t="s">
        <v>142</v>
      </c>
      <c r="G505" s="141">
        <v>103069</v>
      </c>
      <c r="H505" s="141" t="s">
        <v>214</v>
      </c>
      <c r="I505" s="141" t="s">
        <v>247</v>
      </c>
      <c r="J505" s="159" t="s">
        <v>248</v>
      </c>
      <c r="K505" s="160">
        <v>0</v>
      </c>
      <c r="L505" s="141"/>
      <c r="M505" s="161">
        <v>12068.54</v>
      </c>
      <c r="N505" s="161">
        <v>0</v>
      </c>
      <c r="O505" s="161">
        <v>0</v>
      </c>
      <c r="P505" s="161">
        <v>0</v>
      </c>
      <c r="Q505" s="104">
        <f t="shared" si="29"/>
        <v>12068.54</v>
      </c>
      <c r="R505" s="129"/>
      <c r="S505" s="66">
        <f t="shared" si="30"/>
        <v>1377.0204140000001</v>
      </c>
    </row>
    <row r="506" spans="1:19" ht="15" x14ac:dyDescent="0.25">
      <c r="A506" s="141" t="s">
        <v>148</v>
      </c>
      <c r="B506" s="141" t="s">
        <v>318</v>
      </c>
      <c r="C506" s="141" t="s">
        <v>63</v>
      </c>
      <c r="D506" s="142" t="s">
        <v>241</v>
      </c>
      <c r="E506" s="158" t="s">
        <v>369</v>
      </c>
      <c r="F506" s="142" t="s">
        <v>142</v>
      </c>
      <c r="G506" s="141">
        <v>104000</v>
      </c>
      <c r="H506" s="141" t="s">
        <v>110</v>
      </c>
      <c r="I506" s="141" t="s">
        <v>247</v>
      </c>
      <c r="J506" s="159" t="s">
        <v>248</v>
      </c>
      <c r="K506" s="160">
        <v>0</v>
      </c>
      <c r="L506" s="141"/>
      <c r="M506" s="161">
        <v>46116.36</v>
      </c>
      <c r="N506" s="161">
        <v>55000</v>
      </c>
      <c r="O506" s="161">
        <v>-1000</v>
      </c>
      <c r="P506" s="161">
        <v>54000</v>
      </c>
      <c r="Q506" s="104">
        <f t="shared" si="29"/>
        <v>-7883.6399999999994</v>
      </c>
      <c r="R506" s="129"/>
      <c r="S506" s="66">
        <f t="shared" si="30"/>
        <v>5261.8766760000008</v>
      </c>
    </row>
    <row r="507" spans="1:19" ht="15" x14ac:dyDescent="0.25">
      <c r="A507" s="141" t="s">
        <v>148</v>
      </c>
      <c r="B507" s="141" t="s">
        <v>318</v>
      </c>
      <c r="C507" s="141" t="s">
        <v>63</v>
      </c>
      <c r="D507" s="142" t="s">
        <v>241</v>
      </c>
      <c r="E507" s="158" t="s">
        <v>369</v>
      </c>
      <c r="F507" s="142" t="s">
        <v>142</v>
      </c>
      <c r="G507" s="141">
        <v>104000</v>
      </c>
      <c r="H507" s="141" t="s">
        <v>110</v>
      </c>
      <c r="I507" s="141" t="s">
        <v>247</v>
      </c>
      <c r="J507" s="159" t="s">
        <v>287</v>
      </c>
      <c r="K507" s="160">
        <v>0</v>
      </c>
      <c r="L507" s="141"/>
      <c r="M507" s="161">
        <v>837.24</v>
      </c>
      <c r="N507" s="161">
        <v>0</v>
      </c>
      <c r="O507" s="161">
        <v>0</v>
      </c>
      <c r="P507" s="161">
        <v>0</v>
      </c>
      <c r="Q507" s="104">
        <f t="shared" si="29"/>
        <v>837.24</v>
      </c>
      <c r="R507" s="129"/>
      <c r="S507" s="66">
        <f t="shared" si="30"/>
        <v>95.529084000000012</v>
      </c>
    </row>
    <row r="508" spans="1:19" ht="15" x14ac:dyDescent="0.25">
      <c r="A508" s="141" t="s">
        <v>148</v>
      </c>
      <c r="B508" s="141" t="s">
        <v>318</v>
      </c>
      <c r="C508" s="141" t="s">
        <v>63</v>
      </c>
      <c r="D508" s="142" t="s">
        <v>241</v>
      </c>
      <c r="E508" s="158" t="s">
        <v>369</v>
      </c>
      <c r="F508" s="142" t="s">
        <v>142</v>
      </c>
      <c r="G508" s="141">
        <v>105003</v>
      </c>
      <c r="H508" s="141" t="s">
        <v>268</v>
      </c>
      <c r="I508" s="141" t="s">
        <v>247</v>
      </c>
      <c r="J508" s="159" t="s">
        <v>248</v>
      </c>
      <c r="K508" s="160">
        <v>0</v>
      </c>
      <c r="L508" s="141"/>
      <c r="M508" s="163">
        <v>108393.02</v>
      </c>
      <c r="N508" s="161">
        <v>0</v>
      </c>
      <c r="O508" s="161">
        <v>0</v>
      </c>
      <c r="P508" s="161">
        <v>0</v>
      </c>
      <c r="Q508" s="104">
        <f t="shared" si="29"/>
        <v>108393.02</v>
      </c>
      <c r="R508" s="129"/>
      <c r="S508" s="66">
        <f t="shared" si="30"/>
        <v>12367.643582000002</v>
      </c>
    </row>
    <row r="509" spans="1:19" ht="15" x14ac:dyDescent="0.25">
      <c r="A509" s="141" t="s">
        <v>148</v>
      </c>
      <c r="B509" s="141" t="s">
        <v>318</v>
      </c>
      <c r="C509" s="141" t="s">
        <v>63</v>
      </c>
      <c r="D509" s="142" t="s">
        <v>241</v>
      </c>
      <c r="E509" s="158" t="s">
        <v>369</v>
      </c>
      <c r="F509" s="142" t="s">
        <v>142</v>
      </c>
      <c r="G509" s="141">
        <v>105019</v>
      </c>
      <c r="H509" s="141" t="s">
        <v>111</v>
      </c>
      <c r="I509" s="141" t="s">
        <v>247</v>
      </c>
      <c r="J509" s="159" t="s">
        <v>248</v>
      </c>
      <c r="K509" s="160">
        <v>0</v>
      </c>
      <c r="L509" s="141"/>
      <c r="M509" s="161">
        <v>45.63</v>
      </c>
      <c r="N509" s="161">
        <v>0</v>
      </c>
      <c r="O509" s="161">
        <v>0</v>
      </c>
      <c r="P509" s="161">
        <v>0</v>
      </c>
      <c r="Q509" s="104">
        <f t="shared" si="29"/>
        <v>45.63</v>
      </c>
      <c r="R509" s="129"/>
      <c r="S509" s="66">
        <f t="shared" si="30"/>
        <v>5.2063830000000006</v>
      </c>
    </row>
    <row r="510" spans="1:19" ht="15" x14ac:dyDescent="0.25">
      <c r="A510" s="141" t="s">
        <v>148</v>
      </c>
      <c r="B510" s="141" t="s">
        <v>318</v>
      </c>
      <c r="C510" s="141" t="s">
        <v>63</v>
      </c>
      <c r="D510" s="142" t="s">
        <v>241</v>
      </c>
      <c r="E510" s="158" t="s">
        <v>369</v>
      </c>
      <c r="F510" s="142" t="s">
        <v>142</v>
      </c>
      <c r="G510" s="141">
        <v>105098</v>
      </c>
      <c r="H510" s="141" t="s">
        <v>265</v>
      </c>
      <c r="I510" s="141" t="s">
        <v>247</v>
      </c>
      <c r="J510" s="159" t="s">
        <v>302</v>
      </c>
      <c r="K510" s="160">
        <v>0</v>
      </c>
      <c r="L510" s="141"/>
      <c r="M510" s="161">
        <v>-4392</v>
      </c>
      <c r="N510" s="161">
        <v>0</v>
      </c>
      <c r="O510" s="161">
        <v>0</v>
      </c>
      <c r="P510" s="161">
        <v>0</v>
      </c>
      <c r="Q510" s="104">
        <f t="shared" si="29"/>
        <v>-4392</v>
      </c>
      <c r="R510" s="129"/>
      <c r="S510" s="66">
        <f t="shared" si="30"/>
        <v>-501.12720000000007</v>
      </c>
    </row>
    <row r="511" spans="1:19" ht="15" x14ac:dyDescent="0.25">
      <c r="A511" s="141" t="s">
        <v>148</v>
      </c>
      <c r="B511" s="141" t="s">
        <v>318</v>
      </c>
      <c r="C511" s="141" t="s">
        <v>63</v>
      </c>
      <c r="D511" s="142" t="s">
        <v>241</v>
      </c>
      <c r="E511" s="158" t="s">
        <v>369</v>
      </c>
      <c r="F511" s="142" t="s">
        <v>142</v>
      </c>
      <c r="G511" s="141">
        <v>105099</v>
      </c>
      <c r="H511" s="141" t="s">
        <v>103</v>
      </c>
      <c r="I511" s="141" t="s">
        <v>247</v>
      </c>
      <c r="J511" s="159" t="s">
        <v>303</v>
      </c>
      <c r="K511" s="160">
        <v>0</v>
      </c>
      <c r="L511" s="141"/>
      <c r="M511" s="161">
        <v>4392</v>
      </c>
      <c r="N511" s="161">
        <v>0</v>
      </c>
      <c r="O511" s="161">
        <v>0</v>
      </c>
      <c r="P511" s="161">
        <v>0</v>
      </c>
      <c r="Q511" s="104">
        <f t="shared" si="29"/>
        <v>4392</v>
      </c>
      <c r="R511" s="104"/>
      <c r="S511" s="66">
        <f t="shared" si="30"/>
        <v>501.12720000000007</v>
      </c>
    </row>
    <row r="512" spans="1:19" ht="15" x14ac:dyDescent="0.25">
      <c r="A512" s="141" t="s">
        <v>148</v>
      </c>
      <c r="B512" s="141" t="s">
        <v>318</v>
      </c>
      <c r="C512" s="141" t="s">
        <v>63</v>
      </c>
      <c r="D512" s="142" t="s">
        <v>241</v>
      </c>
      <c r="E512" s="158" t="s">
        <v>369</v>
      </c>
      <c r="F512" s="142" t="s">
        <v>142</v>
      </c>
      <c r="G512" s="144">
        <v>109001</v>
      </c>
      <c r="H512" s="141" t="s">
        <v>101</v>
      </c>
      <c r="I512" s="141" t="s">
        <v>247</v>
      </c>
      <c r="J512" s="159" t="s">
        <v>248</v>
      </c>
      <c r="K512" s="160">
        <v>0</v>
      </c>
      <c r="L512" s="141"/>
      <c r="M512" s="161">
        <v>616534.14</v>
      </c>
      <c r="N512" s="161">
        <v>590000</v>
      </c>
      <c r="O512" s="161">
        <v>10000</v>
      </c>
      <c r="P512" s="161">
        <v>600000</v>
      </c>
      <c r="Q512" s="104">
        <f t="shared" si="29"/>
        <v>16534.140000000014</v>
      </c>
      <c r="R512" s="129">
        <f t="shared" ref="R512:R514" si="33">M512*-1.141</f>
        <v>-703465.45374000003</v>
      </c>
    </row>
    <row r="513" spans="1:19" ht="15" x14ac:dyDescent="0.25">
      <c r="A513" s="141" t="s">
        <v>148</v>
      </c>
      <c r="B513" s="141" t="s">
        <v>318</v>
      </c>
      <c r="C513" s="141" t="s">
        <v>63</v>
      </c>
      <c r="D513" s="142" t="s">
        <v>241</v>
      </c>
      <c r="E513" s="158" t="s">
        <v>369</v>
      </c>
      <c r="F513" s="142" t="s">
        <v>142</v>
      </c>
      <c r="G513" s="144">
        <v>109001</v>
      </c>
      <c r="H513" s="141" t="s">
        <v>101</v>
      </c>
      <c r="I513" s="141" t="s">
        <v>247</v>
      </c>
      <c r="J513" s="159" t="s">
        <v>297</v>
      </c>
      <c r="K513" s="160">
        <v>0</v>
      </c>
      <c r="L513" s="141"/>
      <c r="M513" s="161">
        <v>1879.94</v>
      </c>
      <c r="N513" s="161">
        <v>0</v>
      </c>
      <c r="O513" s="161">
        <v>0</v>
      </c>
      <c r="P513" s="161">
        <v>0</v>
      </c>
      <c r="Q513" s="104">
        <f t="shared" si="29"/>
        <v>1879.94</v>
      </c>
      <c r="R513" s="129">
        <f t="shared" si="33"/>
        <v>-2145.01154</v>
      </c>
    </row>
    <row r="514" spans="1:19" ht="15" x14ac:dyDescent="0.25">
      <c r="A514" s="141" t="s">
        <v>148</v>
      </c>
      <c r="B514" s="141" t="s">
        <v>318</v>
      </c>
      <c r="C514" s="141" t="s">
        <v>63</v>
      </c>
      <c r="D514" s="142" t="s">
        <v>241</v>
      </c>
      <c r="E514" s="158" t="s">
        <v>369</v>
      </c>
      <c r="F514" s="142" t="s">
        <v>142</v>
      </c>
      <c r="G514" s="144">
        <v>109001</v>
      </c>
      <c r="H514" s="141" t="s">
        <v>101</v>
      </c>
      <c r="I514" s="141" t="s">
        <v>247</v>
      </c>
      <c r="J514" s="159" t="s">
        <v>287</v>
      </c>
      <c r="K514" s="160">
        <v>0</v>
      </c>
      <c r="L514" s="141"/>
      <c r="M514" s="161">
        <v>3601.62</v>
      </c>
      <c r="N514" s="161">
        <v>0</v>
      </c>
      <c r="O514" s="161">
        <v>4000</v>
      </c>
      <c r="P514" s="161">
        <v>4000</v>
      </c>
      <c r="Q514" s="104">
        <f t="shared" si="29"/>
        <v>-398.38000000000011</v>
      </c>
      <c r="R514" s="129">
        <f t="shared" si="33"/>
        <v>-4109.4484199999997</v>
      </c>
    </row>
    <row r="515" spans="1:19" ht="15" x14ac:dyDescent="0.25">
      <c r="A515" s="141" t="s">
        <v>148</v>
      </c>
      <c r="B515" s="141" t="s">
        <v>318</v>
      </c>
      <c r="C515" s="141" t="s">
        <v>63</v>
      </c>
      <c r="D515" s="142" t="s">
        <v>241</v>
      </c>
      <c r="E515" s="158" t="s">
        <v>369</v>
      </c>
      <c r="F515" s="142" t="s">
        <v>142</v>
      </c>
      <c r="G515" s="144">
        <v>109901</v>
      </c>
      <c r="H515" s="141" t="s">
        <v>102</v>
      </c>
      <c r="I515" s="141" t="s">
        <v>247</v>
      </c>
      <c r="J515" s="159" t="s">
        <v>248</v>
      </c>
      <c r="K515" s="160">
        <v>0</v>
      </c>
      <c r="L515" s="141"/>
      <c r="M515" s="161">
        <v>943361.79</v>
      </c>
      <c r="N515" s="161">
        <v>966000</v>
      </c>
      <c r="O515" s="161">
        <v>17000</v>
      </c>
      <c r="P515" s="161">
        <v>983000</v>
      </c>
      <c r="Q515" s="104">
        <f t="shared" si="29"/>
        <v>-39638.209999999963</v>
      </c>
      <c r="R515" s="104"/>
    </row>
    <row r="516" spans="1:19" ht="15" x14ac:dyDescent="0.25">
      <c r="A516" s="141" t="s">
        <v>148</v>
      </c>
      <c r="B516" s="141" t="s">
        <v>318</v>
      </c>
      <c r="C516" s="141" t="s">
        <v>63</v>
      </c>
      <c r="D516" s="142" t="s">
        <v>241</v>
      </c>
      <c r="E516" s="158" t="s">
        <v>369</v>
      </c>
      <c r="F516" s="142" t="s">
        <v>142</v>
      </c>
      <c r="G516" s="144">
        <v>109901</v>
      </c>
      <c r="H516" s="141" t="s">
        <v>102</v>
      </c>
      <c r="I516" s="141" t="s">
        <v>247</v>
      </c>
      <c r="J516" s="159" t="s">
        <v>303</v>
      </c>
      <c r="K516" s="160">
        <v>0</v>
      </c>
      <c r="L516" s="141"/>
      <c r="M516" s="161">
        <v>621.35</v>
      </c>
      <c r="N516" s="161">
        <v>0</v>
      </c>
      <c r="O516" s="161">
        <v>0</v>
      </c>
      <c r="P516" s="161">
        <v>0</v>
      </c>
      <c r="Q516" s="104">
        <f t="shared" si="29"/>
        <v>621.35</v>
      </c>
      <c r="R516" s="104"/>
    </row>
    <row r="517" spans="1:19" ht="15" x14ac:dyDescent="0.25">
      <c r="A517" s="141" t="s">
        <v>148</v>
      </c>
      <c r="B517" s="141" t="s">
        <v>318</v>
      </c>
      <c r="C517" s="141" t="s">
        <v>63</v>
      </c>
      <c r="D517" s="142" t="s">
        <v>241</v>
      </c>
      <c r="E517" s="158" t="s">
        <v>369</v>
      </c>
      <c r="F517" s="142" t="s">
        <v>142</v>
      </c>
      <c r="G517" s="144">
        <v>109901</v>
      </c>
      <c r="H517" s="141" t="s">
        <v>102</v>
      </c>
      <c r="I517" s="141" t="s">
        <v>247</v>
      </c>
      <c r="J517" s="159" t="s">
        <v>297</v>
      </c>
      <c r="K517" s="160">
        <v>0</v>
      </c>
      <c r="L517" s="141"/>
      <c r="M517" s="161">
        <v>3067.89</v>
      </c>
      <c r="N517" s="161">
        <v>0</v>
      </c>
      <c r="O517" s="161">
        <v>0</v>
      </c>
      <c r="P517" s="161">
        <v>0</v>
      </c>
      <c r="Q517" s="104">
        <f t="shared" si="29"/>
        <v>3067.89</v>
      </c>
      <c r="R517" s="104"/>
    </row>
    <row r="518" spans="1:19" ht="15" x14ac:dyDescent="0.25">
      <c r="A518" s="141" t="s">
        <v>148</v>
      </c>
      <c r="B518" s="141" t="s">
        <v>318</v>
      </c>
      <c r="C518" s="141" t="s">
        <v>63</v>
      </c>
      <c r="D518" s="142" t="s">
        <v>241</v>
      </c>
      <c r="E518" s="158" t="s">
        <v>369</v>
      </c>
      <c r="F518" s="142" t="s">
        <v>142</v>
      </c>
      <c r="G518" s="144">
        <v>109901</v>
      </c>
      <c r="H518" s="141" t="s">
        <v>102</v>
      </c>
      <c r="I518" s="141" t="s">
        <v>247</v>
      </c>
      <c r="J518" s="159" t="s">
        <v>287</v>
      </c>
      <c r="K518" s="160">
        <v>0</v>
      </c>
      <c r="L518" s="141"/>
      <c r="M518" s="161">
        <v>6167.14</v>
      </c>
      <c r="N518" s="161">
        <v>0</v>
      </c>
      <c r="O518" s="161">
        <v>6000</v>
      </c>
      <c r="P518" s="161">
        <v>6000</v>
      </c>
      <c r="Q518" s="104">
        <f t="shared" si="29"/>
        <v>167.14000000000033</v>
      </c>
      <c r="R518" s="104"/>
    </row>
    <row r="519" spans="1:19" ht="15" x14ac:dyDescent="0.25">
      <c r="A519" s="141" t="s">
        <v>148</v>
      </c>
      <c r="B519" s="141" t="s">
        <v>318</v>
      </c>
      <c r="C519" s="141" t="s">
        <v>63</v>
      </c>
      <c r="D519" s="142" t="s">
        <v>241</v>
      </c>
      <c r="E519" s="158" t="s">
        <v>369</v>
      </c>
      <c r="F519" s="142" t="s">
        <v>142</v>
      </c>
      <c r="G519" s="144">
        <v>109901</v>
      </c>
      <c r="H519" s="141" t="s">
        <v>102</v>
      </c>
      <c r="I519" s="141" t="s">
        <v>247</v>
      </c>
      <c r="J519" s="159" t="s">
        <v>301</v>
      </c>
      <c r="K519" s="160">
        <v>0</v>
      </c>
      <c r="L519" s="141"/>
      <c r="M519" s="161">
        <v>0</v>
      </c>
      <c r="N519" s="161">
        <v>1000</v>
      </c>
      <c r="O519" s="161">
        <v>-1000</v>
      </c>
      <c r="P519" s="161">
        <v>0</v>
      </c>
      <c r="Q519" s="104">
        <f t="shared" si="29"/>
        <v>0</v>
      </c>
      <c r="R519" s="104"/>
    </row>
    <row r="520" spans="1:19" ht="15" x14ac:dyDescent="0.25">
      <c r="A520" s="141" t="s">
        <v>148</v>
      </c>
      <c r="B520" s="141" t="s">
        <v>319</v>
      </c>
      <c r="C520" s="141" t="s">
        <v>164</v>
      </c>
      <c r="D520" s="142" t="s">
        <v>241</v>
      </c>
      <c r="E520" s="158" t="s">
        <v>369</v>
      </c>
      <c r="F520" s="142" t="s">
        <v>142</v>
      </c>
      <c r="G520" s="141">
        <v>101001</v>
      </c>
      <c r="H520" s="141" t="s">
        <v>104</v>
      </c>
      <c r="I520" s="141" t="s">
        <v>247</v>
      </c>
      <c r="J520" s="159" t="s">
        <v>248</v>
      </c>
      <c r="K520" s="160">
        <v>0</v>
      </c>
      <c r="L520" s="141"/>
      <c r="M520" s="161">
        <v>4844684.8099999996</v>
      </c>
      <c r="N520" s="161">
        <v>4557000</v>
      </c>
      <c r="O520" s="161">
        <v>137000</v>
      </c>
      <c r="P520" s="161">
        <v>4694000</v>
      </c>
      <c r="Q520" s="104">
        <f t="shared" ref="Q520:Q583" si="34">M520-P520</f>
        <v>150684.80999999959</v>
      </c>
      <c r="R520" s="104"/>
      <c r="S520" s="66">
        <f t="shared" si="30"/>
        <v>552778.53682099993</v>
      </c>
    </row>
    <row r="521" spans="1:19" ht="15" x14ac:dyDescent="0.25">
      <c r="A521" s="141" t="s">
        <v>148</v>
      </c>
      <c r="B521" s="141" t="s">
        <v>319</v>
      </c>
      <c r="C521" s="141" t="s">
        <v>164</v>
      </c>
      <c r="D521" s="142" t="s">
        <v>241</v>
      </c>
      <c r="E521" s="158" t="s">
        <v>369</v>
      </c>
      <c r="F521" s="142" t="s">
        <v>142</v>
      </c>
      <c r="G521" s="141">
        <v>101002</v>
      </c>
      <c r="H521" s="141" t="s">
        <v>105</v>
      </c>
      <c r="I521" s="141" t="s">
        <v>247</v>
      </c>
      <c r="J521" s="159" t="s">
        <v>248</v>
      </c>
      <c r="K521" s="160">
        <v>0</v>
      </c>
      <c r="L521" s="141"/>
      <c r="M521" s="161">
        <v>11.29</v>
      </c>
      <c r="N521" s="161">
        <v>0</v>
      </c>
      <c r="O521" s="161">
        <v>0</v>
      </c>
      <c r="P521" s="161">
        <v>0</v>
      </c>
      <c r="Q521" s="104">
        <f t="shared" si="34"/>
        <v>11.29</v>
      </c>
      <c r="R521" s="104"/>
      <c r="S521" s="66">
        <f t="shared" ref="S521:S584" si="35">M521*$S$7*1.141</f>
        <v>1.288189</v>
      </c>
    </row>
    <row r="522" spans="1:19" ht="15" x14ac:dyDescent="0.25">
      <c r="A522" s="141" t="s">
        <v>148</v>
      </c>
      <c r="B522" s="141" t="s">
        <v>319</v>
      </c>
      <c r="C522" s="141" t="s">
        <v>164</v>
      </c>
      <c r="D522" s="142" t="s">
        <v>241</v>
      </c>
      <c r="E522" s="158" t="s">
        <v>369</v>
      </c>
      <c r="F522" s="142" t="s">
        <v>142</v>
      </c>
      <c r="G522" s="141">
        <v>101002</v>
      </c>
      <c r="H522" s="141" t="s">
        <v>105</v>
      </c>
      <c r="I522" s="141" t="s">
        <v>247</v>
      </c>
      <c r="J522" s="159" t="s">
        <v>297</v>
      </c>
      <c r="K522" s="160">
        <v>0</v>
      </c>
      <c r="L522" s="141"/>
      <c r="M522" s="161">
        <v>14110.16</v>
      </c>
      <c r="N522" s="161">
        <v>0</v>
      </c>
      <c r="O522" s="161">
        <v>0</v>
      </c>
      <c r="P522" s="161">
        <v>0</v>
      </c>
      <c r="Q522" s="104">
        <f t="shared" si="34"/>
        <v>14110.16</v>
      </c>
      <c r="R522" s="104"/>
      <c r="S522" s="66">
        <f t="shared" si="35"/>
        <v>1609.9692560000001</v>
      </c>
    </row>
    <row r="523" spans="1:19" ht="15" x14ac:dyDescent="0.25">
      <c r="A523" s="141" t="s">
        <v>148</v>
      </c>
      <c r="B523" s="141" t="s">
        <v>319</v>
      </c>
      <c r="C523" s="141" t="s">
        <v>164</v>
      </c>
      <c r="D523" s="142" t="s">
        <v>241</v>
      </c>
      <c r="E523" s="158" t="s">
        <v>369</v>
      </c>
      <c r="F523" s="142" t="s">
        <v>142</v>
      </c>
      <c r="G523" s="141">
        <v>101002</v>
      </c>
      <c r="H523" s="141" t="s">
        <v>105</v>
      </c>
      <c r="I523" s="141" t="s">
        <v>247</v>
      </c>
      <c r="J523" s="159" t="s">
        <v>286</v>
      </c>
      <c r="K523" s="160">
        <v>0</v>
      </c>
      <c r="L523" s="141"/>
      <c r="M523" s="161">
        <v>1399.61</v>
      </c>
      <c r="N523" s="161">
        <v>0</v>
      </c>
      <c r="O523" s="161">
        <v>0</v>
      </c>
      <c r="P523" s="161">
        <v>0</v>
      </c>
      <c r="Q523" s="104">
        <f t="shared" si="34"/>
        <v>1399.61</v>
      </c>
      <c r="R523" s="104"/>
      <c r="S523" s="66">
        <f t="shared" si="35"/>
        <v>159.69550099999998</v>
      </c>
    </row>
    <row r="524" spans="1:19" ht="15" x14ac:dyDescent="0.25">
      <c r="A524" s="141" t="s">
        <v>148</v>
      </c>
      <c r="B524" s="141" t="s">
        <v>319</v>
      </c>
      <c r="C524" s="141" t="s">
        <v>164</v>
      </c>
      <c r="D524" s="142" t="s">
        <v>241</v>
      </c>
      <c r="E524" s="158" t="s">
        <v>369</v>
      </c>
      <c r="F524" s="142" t="s">
        <v>142</v>
      </c>
      <c r="G524" s="141">
        <v>101039</v>
      </c>
      <c r="H524" s="141" t="s">
        <v>107</v>
      </c>
      <c r="I524" s="141" t="s">
        <v>247</v>
      </c>
      <c r="J524" s="159" t="s">
        <v>248</v>
      </c>
      <c r="K524" s="160">
        <v>0</v>
      </c>
      <c r="L524" s="141"/>
      <c r="M524" s="161">
        <v>146707.64000000001</v>
      </c>
      <c r="N524" s="161">
        <v>10000</v>
      </c>
      <c r="O524" s="161">
        <v>0</v>
      </c>
      <c r="P524" s="161">
        <v>10000</v>
      </c>
      <c r="Q524" s="104">
        <f t="shared" si="34"/>
        <v>136707.64000000001</v>
      </c>
      <c r="R524" s="104"/>
      <c r="S524" s="66">
        <f t="shared" si="35"/>
        <v>16739.341724000002</v>
      </c>
    </row>
    <row r="525" spans="1:19" ht="15" x14ac:dyDescent="0.25">
      <c r="A525" s="141" t="s">
        <v>148</v>
      </c>
      <c r="B525" s="141" t="s">
        <v>319</v>
      </c>
      <c r="C525" s="141" t="s">
        <v>164</v>
      </c>
      <c r="D525" s="142" t="s">
        <v>241</v>
      </c>
      <c r="E525" s="158" t="s">
        <v>369</v>
      </c>
      <c r="F525" s="142" t="s">
        <v>142</v>
      </c>
      <c r="G525" s="141">
        <v>102002</v>
      </c>
      <c r="H525" s="141" t="s">
        <v>108</v>
      </c>
      <c r="I525" s="141" t="s">
        <v>247</v>
      </c>
      <c r="J525" s="159" t="s">
        <v>248</v>
      </c>
      <c r="K525" s="160">
        <v>0</v>
      </c>
      <c r="L525" s="141"/>
      <c r="M525" s="161">
        <v>5012.3900000000003</v>
      </c>
      <c r="N525" s="161">
        <v>0</v>
      </c>
      <c r="O525" s="161">
        <v>0</v>
      </c>
      <c r="P525" s="161">
        <v>0</v>
      </c>
      <c r="Q525" s="104">
        <f t="shared" si="34"/>
        <v>5012.3900000000003</v>
      </c>
      <c r="R525" s="104"/>
      <c r="S525" s="66">
        <f t="shared" si="35"/>
        <v>571.91369900000007</v>
      </c>
    </row>
    <row r="526" spans="1:19" ht="15" x14ac:dyDescent="0.25">
      <c r="A526" s="141" t="s">
        <v>148</v>
      </c>
      <c r="B526" s="141" t="s">
        <v>319</v>
      </c>
      <c r="C526" s="141" t="s">
        <v>164</v>
      </c>
      <c r="D526" s="142" t="s">
        <v>241</v>
      </c>
      <c r="E526" s="158" t="s">
        <v>369</v>
      </c>
      <c r="F526" s="142" t="s">
        <v>142</v>
      </c>
      <c r="G526" s="141">
        <v>102002</v>
      </c>
      <c r="H526" s="141" t="s">
        <v>108</v>
      </c>
      <c r="I526" s="141" t="s">
        <v>247</v>
      </c>
      <c r="J526" s="159" t="s">
        <v>297</v>
      </c>
      <c r="K526" s="160">
        <v>0</v>
      </c>
      <c r="L526" s="141"/>
      <c r="M526" s="161">
        <v>4663.4399999999996</v>
      </c>
      <c r="N526" s="161">
        <v>0</v>
      </c>
      <c r="O526" s="161">
        <v>0</v>
      </c>
      <c r="P526" s="161">
        <v>0</v>
      </c>
      <c r="Q526" s="104">
        <f t="shared" si="34"/>
        <v>4663.4399999999996</v>
      </c>
      <c r="R526" s="104"/>
      <c r="S526" s="66">
        <f t="shared" si="35"/>
        <v>532.09850400000005</v>
      </c>
    </row>
    <row r="527" spans="1:19" ht="15" x14ac:dyDescent="0.25">
      <c r="A527" s="141" t="s">
        <v>148</v>
      </c>
      <c r="B527" s="141" t="s">
        <v>319</v>
      </c>
      <c r="C527" s="141" t="s">
        <v>164</v>
      </c>
      <c r="D527" s="142" t="s">
        <v>241</v>
      </c>
      <c r="E527" s="158" t="s">
        <v>369</v>
      </c>
      <c r="F527" s="142" t="s">
        <v>142</v>
      </c>
      <c r="G527" s="141">
        <v>102002</v>
      </c>
      <c r="H527" s="141" t="s">
        <v>108</v>
      </c>
      <c r="I527" s="141" t="s">
        <v>247</v>
      </c>
      <c r="J527" s="159" t="s">
        <v>286</v>
      </c>
      <c r="K527" s="160">
        <v>0</v>
      </c>
      <c r="L527" s="141"/>
      <c r="M527" s="161">
        <v>2474.4699999999998</v>
      </c>
      <c r="N527" s="161">
        <v>0</v>
      </c>
      <c r="O527" s="161">
        <v>0</v>
      </c>
      <c r="P527" s="161">
        <v>0</v>
      </c>
      <c r="Q527" s="104">
        <f t="shared" si="34"/>
        <v>2474.4699999999998</v>
      </c>
      <c r="R527" s="104"/>
      <c r="S527" s="66">
        <f t="shared" si="35"/>
        <v>282.33702700000003</v>
      </c>
    </row>
    <row r="528" spans="1:19" ht="15" x14ac:dyDescent="0.25">
      <c r="A528" s="141" t="s">
        <v>148</v>
      </c>
      <c r="B528" s="141" t="s">
        <v>319</v>
      </c>
      <c r="C528" s="141" t="s">
        <v>164</v>
      </c>
      <c r="D528" s="142" t="s">
        <v>241</v>
      </c>
      <c r="E528" s="158" t="s">
        <v>369</v>
      </c>
      <c r="F528" s="142" t="s">
        <v>142</v>
      </c>
      <c r="G528" s="141">
        <v>102003</v>
      </c>
      <c r="H528" s="141" t="s">
        <v>106</v>
      </c>
      <c r="I528" s="141" t="s">
        <v>247</v>
      </c>
      <c r="J528" s="159" t="s">
        <v>248</v>
      </c>
      <c r="K528" s="160">
        <v>0</v>
      </c>
      <c r="L528" s="141"/>
      <c r="M528" s="161">
        <v>134582.78</v>
      </c>
      <c r="N528" s="161">
        <v>106000</v>
      </c>
      <c r="O528" s="161">
        <v>33000</v>
      </c>
      <c r="P528" s="161">
        <v>139000</v>
      </c>
      <c r="Q528" s="104">
        <f t="shared" si="34"/>
        <v>-4417.2200000000012</v>
      </c>
      <c r="R528" s="104"/>
      <c r="S528" s="66">
        <f t="shared" si="35"/>
        <v>15355.895198</v>
      </c>
    </row>
    <row r="529" spans="1:19" ht="15" x14ac:dyDescent="0.25">
      <c r="A529" s="141" t="s">
        <v>148</v>
      </c>
      <c r="B529" s="141" t="s">
        <v>319</v>
      </c>
      <c r="C529" s="141" t="s">
        <v>164</v>
      </c>
      <c r="D529" s="142" t="s">
        <v>241</v>
      </c>
      <c r="E529" s="158" t="s">
        <v>369</v>
      </c>
      <c r="F529" s="142" t="s">
        <v>142</v>
      </c>
      <c r="G529" s="141">
        <v>102005</v>
      </c>
      <c r="H529" s="141" t="s">
        <v>112</v>
      </c>
      <c r="I529" s="141" t="s">
        <v>247</v>
      </c>
      <c r="J529" s="159" t="s">
        <v>248</v>
      </c>
      <c r="K529" s="160">
        <v>0</v>
      </c>
      <c r="L529" s="141"/>
      <c r="M529" s="161">
        <v>17894.13</v>
      </c>
      <c r="N529" s="161">
        <v>0</v>
      </c>
      <c r="O529" s="161">
        <v>0</v>
      </c>
      <c r="P529" s="161">
        <v>0</v>
      </c>
      <c r="Q529" s="104">
        <f t="shared" si="34"/>
        <v>17894.13</v>
      </c>
      <c r="R529" s="104"/>
      <c r="S529" s="66">
        <f t="shared" si="35"/>
        <v>2041.7202330000002</v>
      </c>
    </row>
    <row r="530" spans="1:19" ht="15" x14ac:dyDescent="0.25">
      <c r="A530" s="141" t="s">
        <v>148</v>
      </c>
      <c r="B530" s="141" t="s">
        <v>319</v>
      </c>
      <c r="C530" s="141" t="s">
        <v>164</v>
      </c>
      <c r="D530" s="142" t="s">
        <v>241</v>
      </c>
      <c r="E530" s="158" t="s">
        <v>369</v>
      </c>
      <c r="F530" s="142" t="s">
        <v>142</v>
      </c>
      <c r="G530" s="141">
        <v>102062</v>
      </c>
      <c r="H530" s="141" t="s">
        <v>113</v>
      </c>
      <c r="I530" s="141" t="s">
        <v>247</v>
      </c>
      <c r="J530" s="159" t="s">
        <v>248</v>
      </c>
      <c r="K530" s="160">
        <v>0</v>
      </c>
      <c r="L530" s="141"/>
      <c r="M530" s="161">
        <v>4948.13</v>
      </c>
      <c r="N530" s="161">
        <v>0</v>
      </c>
      <c r="O530" s="161">
        <v>0</v>
      </c>
      <c r="P530" s="161">
        <v>0</v>
      </c>
      <c r="Q530" s="104">
        <f t="shared" si="34"/>
        <v>4948.13</v>
      </c>
      <c r="R530" s="104"/>
      <c r="S530" s="66">
        <f t="shared" si="35"/>
        <v>564.58163300000001</v>
      </c>
    </row>
    <row r="531" spans="1:19" ht="15" x14ac:dyDescent="0.25">
      <c r="A531" s="141" t="s">
        <v>148</v>
      </c>
      <c r="B531" s="141" t="s">
        <v>319</v>
      </c>
      <c r="C531" s="141" t="s">
        <v>164</v>
      </c>
      <c r="D531" s="142" t="s">
        <v>241</v>
      </c>
      <c r="E531" s="158" t="s">
        <v>369</v>
      </c>
      <c r="F531" s="142" t="s">
        <v>142</v>
      </c>
      <c r="G531" s="141">
        <v>103001</v>
      </c>
      <c r="H531" s="141" t="s">
        <v>109</v>
      </c>
      <c r="I531" s="141" t="s">
        <v>247</v>
      </c>
      <c r="J531" s="159" t="s">
        <v>248</v>
      </c>
      <c r="K531" s="160">
        <v>0</v>
      </c>
      <c r="L531" s="141"/>
      <c r="M531" s="161">
        <v>28363.95</v>
      </c>
      <c r="N531" s="161">
        <v>0</v>
      </c>
      <c r="O531" s="161">
        <v>0</v>
      </c>
      <c r="P531" s="161">
        <v>0</v>
      </c>
      <c r="Q531" s="104">
        <f t="shared" si="34"/>
        <v>28363.95</v>
      </c>
      <c r="R531" s="104"/>
      <c r="S531" s="66">
        <f t="shared" si="35"/>
        <v>3236.3266950000007</v>
      </c>
    </row>
    <row r="532" spans="1:19" ht="15" x14ac:dyDescent="0.25">
      <c r="A532" s="141" t="s">
        <v>148</v>
      </c>
      <c r="B532" s="141" t="s">
        <v>319</v>
      </c>
      <c r="C532" s="141" t="s">
        <v>164</v>
      </c>
      <c r="D532" s="142" t="s">
        <v>241</v>
      </c>
      <c r="E532" s="158" t="s">
        <v>369</v>
      </c>
      <c r="F532" s="142" t="s">
        <v>142</v>
      </c>
      <c r="G532" s="141">
        <v>103001</v>
      </c>
      <c r="H532" s="141" t="s">
        <v>109</v>
      </c>
      <c r="I532" s="141" t="s">
        <v>247</v>
      </c>
      <c r="J532" s="159" t="s">
        <v>297</v>
      </c>
      <c r="K532" s="160">
        <v>0</v>
      </c>
      <c r="L532" s="141"/>
      <c r="M532" s="161">
        <v>35553.39</v>
      </c>
      <c r="N532" s="161">
        <v>0</v>
      </c>
      <c r="O532" s="161">
        <v>0</v>
      </c>
      <c r="P532" s="161">
        <v>0</v>
      </c>
      <c r="Q532" s="104">
        <f t="shared" si="34"/>
        <v>35553.39</v>
      </c>
      <c r="R532" s="129"/>
      <c r="S532" s="66">
        <f t="shared" si="35"/>
        <v>4056.641799</v>
      </c>
    </row>
    <row r="533" spans="1:19" ht="15" x14ac:dyDescent="0.25">
      <c r="A533" s="141" t="s">
        <v>148</v>
      </c>
      <c r="B533" s="141" t="s">
        <v>319</v>
      </c>
      <c r="C533" s="141" t="s">
        <v>164</v>
      </c>
      <c r="D533" s="142" t="s">
        <v>241</v>
      </c>
      <c r="E533" s="158" t="s">
        <v>369</v>
      </c>
      <c r="F533" s="142" t="s">
        <v>142</v>
      </c>
      <c r="G533" s="141">
        <v>103062</v>
      </c>
      <c r="H533" s="141" t="s">
        <v>114</v>
      </c>
      <c r="I533" s="141" t="s">
        <v>247</v>
      </c>
      <c r="J533" s="159" t="s">
        <v>248</v>
      </c>
      <c r="K533" s="160">
        <v>0</v>
      </c>
      <c r="L533" s="141"/>
      <c r="M533" s="161">
        <v>752.64</v>
      </c>
      <c r="N533" s="161">
        <v>0</v>
      </c>
      <c r="O533" s="161">
        <v>0</v>
      </c>
      <c r="P533" s="161">
        <v>0</v>
      </c>
      <c r="Q533" s="104">
        <f t="shared" si="34"/>
        <v>752.64</v>
      </c>
      <c r="R533" s="129"/>
      <c r="S533" s="66">
        <f t="shared" si="35"/>
        <v>85.876223999999993</v>
      </c>
    </row>
    <row r="534" spans="1:19" ht="15" x14ac:dyDescent="0.25">
      <c r="A534" s="141" t="s">
        <v>148</v>
      </c>
      <c r="B534" s="141" t="s">
        <v>319</v>
      </c>
      <c r="C534" s="141" t="s">
        <v>164</v>
      </c>
      <c r="D534" s="142" t="s">
        <v>241</v>
      </c>
      <c r="E534" s="158" t="s">
        <v>369</v>
      </c>
      <c r="F534" s="142" t="s">
        <v>142</v>
      </c>
      <c r="G534" s="141">
        <v>103069</v>
      </c>
      <c r="H534" s="141" t="s">
        <v>214</v>
      </c>
      <c r="I534" s="141" t="s">
        <v>247</v>
      </c>
      <c r="J534" s="159" t="s">
        <v>248</v>
      </c>
      <c r="K534" s="160">
        <v>0</v>
      </c>
      <c r="L534" s="141"/>
      <c r="M534" s="161">
        <v>10605.96</v>
      </c>
      <c r="N534" s="161">
        <v>0</v>
      </c>
      <c r="O534" s="161">
        <v>0</v>
      </c>
      <c r="P534" s="161">
        <v>0</v>
      </c>
      <c r="Q534" s="104">
        <f t="shared" si="34"/>
        <v>10605.96</v>
      </c>
      <c r="R534" s="129"/>
      <c r="S534" s="66">
        <f t="shared" si="35"/>
        <v>1210.140036</v>
      </c>
    </row>
    <row r="535" spans="1:19" ht="15" x14ac:dyDescent="0.25">
      <c r="A535" s="141" t="s">
        <v>148</v>
      </c>
      <c r="B535" s="141" t="s">
        <v>319</v>
      </c>
      <c r="C535" s="141" t="s">
        <v>164</v>
      </c>
      <c r="D535" s="142" t="s">
        <v>241</v>
      </c>
      <c r="E535" s="158" t="s">
        <v>369</v>
      </c>
      <c r="F535" s="142" t="s">
        <v>142</v>
      </c>
      <c r="G535" s="141">
        <v>104000</v>
      </c>
      <c r="H535" s="141" t="s">
        <v>110</v>
      </c>
      <c r="I535" s="141" t="s">
        <v>247</v>
      </c>
      <c r="J535" s="159" t="s">
        <v>248</v>
      </c>
      <c r="K535" s="160">
        <v>0</v>
      </c>
      <c r="L535" s="141"/>
      <c r="M535" s="161">
        <v>20061.98</v>
      </c>
      <c r="N535" s="161">
        <v>39000</v>
      </c>
      <c r="O535" s="161">
        <v>4000</v>
      </c>
      <c r="P535" s="161">
        <v>43000</v>
      </c>
      <c r="Q535" s="104">
        <f t="shared" si="34"/>
        <v>-22938.02</v>
      </c>
      <c r="R535" s="129"/>
      <c r="S535" s="66">
        <f t="shared" si="35"/>
        <v>2289.0719180000001</v>
      </c>
    </row>
    <row r="536" spans="1:19" ht="15" x14ac:dyDescent="0.25">
      <c r="A536" s="141" t="s">
        <v>148</v>
      </c>
      <c r="B536" s="141" t="s">
        <v>319</v>
      </c>
      <c r="C536" s="141" t="s">
        <v>164</v>
      </c>
      <c r="D536" s="142" t="s">
        <v>241</v>
      </c>
      <c r="E536" s="158" t="s">
        <v>369</v>
      </c>
      <c r="F536" s="142" t="s">
        <v>142</v>
      </c>
      <c r="G536" s="141">
        <v>104000</v>
      </c>
      <c r="H536" s="141" t="s">
        <v>110</v>
      </c>
      <c r="I536" s="141" t="s">
        <v>247</v>
      </c>
      <c r="J536" s="159" t="s">
        <v>297</v>
      </c>
      <c r="K536" s="160">
        <v>0</v>
      </c>
      <c r="L536" s="141"/>
      <c r="M536" s="161">
        <v>783.51</v>
      </c>
      <c r="N536" s="161">
        <v>0</v>
      </c>
      <c r="O536" s="161">
        <v>0</v>
      </c>
      <c r="P536" s="161">
        <v>0</v>
      </c>
      <c r="Q536" s="104">
        <f t="shared" si="34"/>
        <v>783.51</v>
      </c>
      <c r="R536" s="129"/>
      <c r="S536" s="66">
        <f t="shared" si="35"/>
        <v>89.398491000000007</v>
      </c>
    </row>
    <row r="537" spans="1:19" ht="15" x14ac:dyDescent="0.25">
      <c r="A537" s="141" t="s">
        <v>148</v>
      </c>
      <c r="B537" s="141" t="s">
        <v>319</v>
      </c>
      <c r="C537" s="141" t="s">
        <v>164</v>
      </c>
      <c r="D537" s="142" t="s">
        <v>241</v>
      </c>
      <c r="E537" s="158" t="s">
        <v>369</v>
      </c>
      <c r="F537" s="142" t="s">
        <v>142</v>
      </c>
      <c r="G537" s="141">
        <v>105003</v>
      </c>
      <c r="H537" s="141" t="s">
        <v>268</v>
      </c>
      <c r="I537" s="141" t="s">
        <v>247</v>
      </c>
      <c r="J537" s="159" t="s">
        <v>248</v>
      </c>
      <c r="K537" s="160">
        <v>0</v>
      </c>
      <c r="L537" s="141"/>
      <c r="M537" s="163">
        <v>205296.37</v>
      </c>
      <c r="N537" s="161">
        <v>0</v>
      </c>
      <c r="O537" s="161">
        <v>0</v>
      </c>
      <c r="P537" s="161">
        <v>0</v>
      </c>
      <c r="Q537" s="104">
        <f t="shared" si="34"/>
        <v>205296.37</v>
      </c>
      <c r="R537" s="129"/>
      <c r="S537" s="66">
        <f t="shared" si="35"/>
        <v>23424.315817000002</v>
      </c>
    </row>
    <row r="538" spans="1:19" ht="15" x14ac:dyDescent="0.25">
      <c r="A538" s="141" t="s">
        <v>148</v>
      </c>
      <c r="B538" s="141" t="s">
        <v>319</v>
      </c>
      <c r="C538" s="141" t="s">
        <v>164</v>
      </c>
      <c r="D538" s="142" t="s">
        <v>241</v>
      </c>
      <c r="E538" s="158" t="s">
        <v>369</v>
      </c>
      <c r="F538" s="142" t="s">
        <v>142</v>
      </c>
      <c r="G538" s="141">
        <v>105010</v>
      </c>
      <c r="H538" s="141" t="s">
        <v>118</v>
      </c>
      <c r="I538" s="141" t="s">
        <v>247</v>
      </c>
      <c r="J538" s="159" t="s">
        <v>248</v>
      </c>
      <c r="K538" s="160">
        <v>0</v>
      </c>
      <c r="L538" s="141"/>
      <c r="M538" s="161">
        <v>8055.83</v>
      </c>
      <c r="N538" s="161">
        <v>0</v>
      </c>
      <c r="O538" s="161">
        <v>0</v>
      </c>
      <c r="P538" s="161">
        <v>0</v>
      </c>
      <c r="Q538" s="104">
        <f t="shared" si="34"/>
        <v>8055.83</v>
      </c>
      <c r="R538" s="129"/>
      <c r="S538" s="66">
        <f t="shared" si="35"/>
        <v>919.17020300000013</v>
      </c>
    </row>
    <row r="539" spans="1:19" ht="15" x14ac:dyDescent="0.25">
      <c r="A539" s="141" t="s">
        <v>148</v>
      </c>
      <c r="B539" s="141" t="s">
        <v>319</v>
      </c>
      <c r="C539" s="141" t="s">
        <v>164</v>
      </c>
      <c r="D539" s="142" t="s">
        <v>241</v>
      </c>
      <c r="E539" s="158" t="s">
        <v>369</v>
      </c>
      <c r="F539" s="142" t="s">
        <v>142</v>
      </c>
      <c r="G539" s="141">
        <v>105019</v>
      </c>
      <c r="H539" s="141" t="s">
        <v>111</v>
      </c>
      <c r="I539" s="141" t="s">
        <v>247</v>
      </c>
      <c r="J539" s="159" t="s">
        <v>248</v>
      </c>
      <c r="K539" s="160">
        <v>0</v>
      </c>
      <c r="L539" s="141"/>
      <c r="M539" s="161">
        <v>1033.9100000000001</v>
      </c>
      <c r="N539" s="161">
        <v>0</v>
      </c>
      <c r="O539" s="161">
        <v>0</v>
      </c>
      <c r="P539" s="161">
        <v>0</v>
      </c>
      <c r="Q539" s="104">
        <f t="shared" si="34"/>
        <v>1033.9100000000001</v>
      </c>
      <c r="R539" s="104"/>
      <c r="S539" s="66">
        <f t="shared" si="35"/>
        <v>117.96913100000002</v>
      </c>
    </row>
    <row r="540" spans="1:19" ht="15" x14ac:dyDescent="0.25">
      <c r="A540" s="141" t="s">
        <v>148</v>
      </c>
      <c r="B540" s="141" t="s">
        <v>319</v>
      </c>
      <c r="C540" s="141" t="s">
        <v>164</v>
      </c>
      <c r="D540" s="142" t="s">
        <v>241</v>
      </c>
      <c r="E540" s="158" t="s">
        <v>369</v>
      </c>
      <c r="F540" s="142" t="s">
        <v>142</v>
      </c>
      <c r="G540" s="141">
        <v>105098</v>
      </c>
      <c r="H540" s="141" t="s">
        <v>265</v>
      </c>
      <c r="I540" s="141" t="s">
        <v>247</v>
      </c>
      <c r="J540" s="159" t="s">
        <v>302</v>
      </c>
      <c r="K540" s="160">
        <v>0</v>
      </c>
      <c r="L540" s="141"/>
      <c r="M540" s="161">
        <v>-4758</v>
      </c>
      <c r="N540" s="161">
        <v>0</v>
      </c>
      <c r="O540" s="161">
        <v>0</v>
      </c>
      <c r="P540" s="161">
        <v>0</v>
      </c>
      <c r="Q540" s="104">
        <f t="shared" si="34"/>
        <v>-4758</v>
      </c>
      <c r="R540" s="104"/>
      <c r="S540" s="66">
        <f t="shared" si="35"/>
        <v>-542.88779999999997</v>
      </c>
    </row>
    <row r="541" spans="1:19" ht="15" x14ac:dyDescent="0.25">
      <c r="A541" s="141" t="s">
        <v>148</v>
      </c>
      <c r="B541" s="141" t="s">
        <v>319</v>
      </c>
      <c r="C541" s="141" t="s">
        <v>164</v>
      </c>
      <c r="D541" s="142" t="s">
        <v>241</v>
      </c>
      <c r="E541" s="158" t="s">
        <v>369</v>
      </c>
      <c r="F541" s="142" t="s">
        <v>142</v>
      </c>
      <c r="G541" s="141">
        <v>105099</v>
      </c>
      <c r="H541" s="141" t="s">
        <v>103</v>
      </c>
      <c r="I541" s="141" t="s">
        <v>247</v>
      </c>
      <c r="J541" s="159" t="s">
        <v>303</v>
      </c>
      <c r="K541" s="160">
        <v>0</v>
      </c>
      <c r="L541" s="141"/>
      <c r="M541" s="161">
        <v>4758</v>
      </c>
      <c r="N541" s="161">
        <v>0</v>
      </c>
      <c r="O541" s="161">
        <v>0</v>
      </c>
      <c r="P541" s="161">
        <v>0</v>
      </c>
      <c r="Q541" s="104">
        <f t="shared" si="34"/>
        <v>4758</v>
      </c>
      <c r="R541" s="104"/>
      <c r="S541" s="66">
        <f t="shared" si="35"/>
        <v>542.88779999999997</v>
      </c>
    </row>
    <row r="542" spans="1:19" ht="15" x14ac:dyDescent="0.25">
      <c r="A542" s="141" t="s">
        <v>148</v>
      </c>
      <c r="B542" s="141" t="s">
        <v>319</v>
      </c>
      <c r="C542" s="141" t="s">
        <v>164</v>
      </c>
      <c r="D542" s="142" t="s">
        <v>241</v>
      </c>
      <c r="E542" s="158" t="s">
        <v>369</v>
      </c>
      <c r="F542" s="142" t="s">
        <v>142</v>
      </c>
      <c r="G542" s="141">
        <v>107507</v>
      </c>
      <c r="H542" s="141" t="s">
        <v>370</v>
      </c>
      <c r="I542" s="141" t="s">
        <v>247</v>
      </c>
      <c r="J542" s="159" t="s">
        <v>248</v>
      </c>
      <c r="K542" s="160">
        <v>0</v>
      </c>
      <c r="L542" s="141"/>
      <c r="M542" s="161">
        <v>1858.34</v>
      </c>
      <c r="N542" s="161">
        <v>0</v>
      </c>
      <c r="O542" s="161">
        <v>0</v>
      </c>
      <c r="P542" s="161">
        <v>0</v>
      </c>
      <c r="Q542" s="104">
        <f t="shared" si="34"/>
        <v>1858.34</v>
      </c>
      <c r="R542" s="104"/>
      <c r="S542" s="66">
        <f t="shared" si="35"/>
        <v>212.03659400000001</v>
      </c>
    </row>
    <row r="543" spans="1:19" ht="15" x14ac:dyDescent="0.25">
      <c r="A543" s="141" t="s">
        <v>148</v>
      </c>
      <c r="B543" s="141" t="s">
        <v>319</v>
      </c>
      <c r="C543" s="141" t="s">
        <v>164</v>
      </c>
      <c r="D543" s="142" t="s">
        <v>241</v>
      </c>
      <c r="E543" s="158" t="s">
        <v>369</v>
      </c>
      <c r="F543" s="142" t="s">
        <v>142</v>
      </c>
      <c r="G543" s="144">
        <v>109001</v>
      </c>
      <c r="H543" s="141" t="s">
        <v>101</v>
      </c>
      <c r="I543" s="141" t="s">
        <v>247</v>
      </c>
      <c r="J543" s="159" t="s">
        <v>248</v>
      </c>
      <c r="K543" s="160">
        <v>0</v>
      </c>
      <c r="L543" s="141"/>
      <c r="M543" s="161">
        <v>497007.89</v>
      </c>
      <c r="N543" s="161">
        <v>443000</v>
      </c>
      <c r="O543" s="161">
        <v>16000</v>
      </c>
      <c r="P543" s="161">
        <v>459000</v>
      </c>
      <c r="Q543" s="104">
        <f t="shared" si="34"/>
        <v>38007.890000000014</v>
      </c>
      <c r="R543" s="129">
        <f t="shared" ref="R543:R545" si="36">M543*-1.141</f>
        <v>-567086.00248999998</v>
      </c>
    </row>
    <row r="544" spans="1:19" ht="15" x14ac:dyDescent="0.25">
      <c r="A544" s="141" t="s">
        <v>148</v>
      </c>
      <c r="B544" s="141" t="s">
        <v>319</v>
      </c>
      <c r="C544" s="141" t="s">
        <v>164</v>
      </c>
      <c r="D544" s="142" t="s">
        <v>241</v>
      </c>
      <c r="E544" s="158" t="s">
        <v>369</v>
      </c>
      <c r="F544" s="142" t="s">
        <v>142</v>
      </c>
      <c r="G544" s="144">
        <v>109001</v>
      </c>
      <c r="H544" s="141" t="s">
        <v>101</v>
      </c>
      <c r="I544" s="141" t="s">
        <v>247</v>
      </c>
      <c r="J544" s="159" t="s">
        <v>297</v>
      </c>
      <c r="K544" s="160">
        <v>0</v>
      </c>
      <c r="L544" s="141"/>
      <c r="M544" s="161">
        <v>4003.2</v>
      </c>
      <c r="N544" s="161">
        <v>0</v>
      </c>
      <c r="O544" s="161">
        <v>0</v>
      </c>
      <c r="P544" s="161">
        <v>0</v>
      </c>
      <c r="Q544" s="104">
        <f t="shared" si="34"/>
        <v>4003.2</v>
      </c>
      <c r="R544" s="129">
        <f t="shared" si="36"/>
        <v>-4567.6512000000002</v>
      </c>
    </row>
    <row r="545" spans="1:19" ht="15" x14ac:dyDescent="0.25">
      <c r="A545" s="141" t="s">
        <v>148</v>
      </c>
      <c r="B545" s="141" t="s">
        <v>319</v>
      </c>
      <c r="C545" s="141" t="s">
        <v>164</v>
      </c>
      <c r="D545" s="142" t="s">
        <v>241</v>
      </c>
      <c r="E545" s="158" t="s">
        <v>369</v>
      </c>
      <c r="F545" s="142" t="s">
        <v>142</v>
      </c>
      <c r="G545" s="144">
        <v>109001</v>
      </c>
      <c r="H545" s="141" t="s">
        <v>101</v>
      </c>
      <c r="I545" s="141" t="s">
        <v>247</v>
      </c>
      <c r="J545" s="159" t="s">
        <v>286</v>
      </c>
      <c r="K545" s="160">
        <v>0</v>
      </c>
      <c r="L545" s="141"/>
      <c r="M545" s="161">
        <v>295.48</v>
      </c>
      <c r="N545" s="161">
        <v>0</v>
      </c>
      <c r="O545" s="161">
        <v>0</v>
      </c>
      <c r="P545" s="161">
        <v>0</v>
      </c>
      <c r="Q545" s="104">
        <f t="shared" si="34"/>
        <v>295.48</v>
      </c>
      <c r="R545" s="129">
        <f t="shared" si="36"/>
        <v>-337.14268000000004</v>
      </c>
    </row>
    <row r="546" spans="1:19" ht="15" x14ac:dyDescent="0.25">
      <c r="A546" s="141" t="s">
        <v>148</v>
      </c>
      <c r="B546" s="141" t="s">
        <v>319</v>
      </c>
      <c r="C546" s="141" t="s">
        <v>164</v>
      </c>
      <c r="D546" s="142" t="s">
        <v>241</v>
      </c>
      <c r="E546" s="158" t="s">
        <v>369</v>
      </c>
      <c r="F546" s="142" t="s">
        <v>142</v>
      </c>
      <c r="G546" s="144">
        <v>109901</v>
      </c>
      <c r="H546" s="141" t="s">
        <v>102</v>
      </c>
      <c r="I546" s="141" t="s">
        <v>247</v>
      </c>
      <c r="J546" s="159" t="s">
        <v>248</v>
      </c>
      <c r="K546" s="160">
        <v>0</v>
      </c>
      <c r="L546" s="141"/>
      <c r="M546" s="161">
        <v>748074.28</v>
      </c>
      <c r="N546" s="161">
        <v>726000</v>
      </c>
      <c r="O546" s="161">
        <v>28000</v>
      </c>
      <c r="P546" s="161">
        <v>754000</v>
      </c>
      <c r="Q546" s="104">
        <f t="shared" si="34"/>
        <v>-5925.7199999999721</v>
      </c>
      <c r="R546" s="104"/>
    </row>
    <row r="547" spans="1:19" ht="15" x14ac:dyDescent="0.25">
      <c r="A547" s="141" t="s">
        <v>148</v>
      </c>
      <c r="B547" s="141" t="s">
        <v>319</v>
      </c>
      <c r="C547" s="141" t="s">
        <v>164</v>
      </c>
      <c r="D547" s="142" t="s">
        <v>241</v>
      </c>
      <c r="E547" s="158" t="s">
        <v>369</v>
      </c>
      <c r="F547" s="142" t="s">
        <v>142</v>
      </c>
      <c r="G547" s="144">
        <v>109901</v>
      </c>
      <c r="H547" s="141" t="s">
        <v>102</v>
      </c>
      <c r="I547" s="141" t="s">
        <v>247</v>
      </c>
      <c r="J547" s="159" t="s">
        <v>303</v>
      </c>
      <c r="K547" s="160">
        <v>0</v>
      </c>
      <c r="L547" s="141"/>
      <c r="M547" s="161">
        <v>670.93</v>
      </c>
      <c r="N547" s="161">
        <v>0</v>
      </c>
      <c r="O547" s="161">
        <v>0</v>
      </c>
      <c r="P547" s="161">
        <v>0</v>
      </c>
      <c r="Q547" s="104">
        <f t="shared" si="34"/>
        <v>670.93</v>
      </c>
      <c r="R547" s="104"/>
    </row>
    <row r="548" spans="1:19" ht="15" x14ac:dyDescent="0.25">
      <c r="A548" s="141" t="s">
        <v>148</v>
      </c>
      <c r="B548" s="141" t="s">
        <v>319</v>
      </c>
      <c r="C548" s="141" t="s">
        <v>164</v>
      </c>
      <c r="D548" s="142" t="s">
        <v>241</v>
      </c>
      <c r="E548" s="158" t="s">
        <v>369</v>
      </c>
      <c r="F548" s="142" t="s">
        <v>142</v>
      </c>
      <c r="G548" s="144">
        <v>109901</v>
      </c>
      <c r="H548" s="141" t="s">
        <v>102</v>
      </c>
      <c r="I548" s="141" t="s">
        <v>247</v>
      </c>
      <c r="J548" s="159" t="s">
        <v>297</v>
      </c>
      <c r="K548" s="160">
        <v>0</v>
      </c>
      <c r="L548" s="141"/>
      <c r="M548" s="161">
        <v>8335</v>
      </c>
      <c r="N548" s="161">
        <v>0</v>
      </c>
      <c r="O548" s="161">
        <v>0</v>
      </c>
      <c r="P548" s="161">
        <v>0</v>
      </c>
      <c r="Q548" s="104">
        <f t="shared" si="34"/>
        <v>8335</v>
      </c>
      <c r="R548" s="104"/>
    </row>
    <row r="549" spans="1:19" ht="15" x14ac:dyDescent="0.25">
      <c r="A549" s="141" t="s">
        <v>148</v>
      </c>
      <c r="B549" s="141" t="s">
        <v>319</v>
      </c>
      <c r="C549" s="141" t="s">
        <v>164</v>
      </c>
      <c r="D549" s="142" t="s">
        <v>241</v>
      </c>
      <c r="E549" s="158" t="s">
        <v>369</v>
      </c>
      <c r="F549" s="142" t="s">
        <v>142</v>
      </c>
      <c r="G549" s="144">
        <v>109901</v>
      </c>
      <c r="H549" s="141" t="s">
        <v>102</v>
      </c>
      <c r="I549" s="141" t="s">
        <v>247</v>
      </c>
      <c r="J549" s="159" t="s">
        <v>286</v>
      </c>
      <c r="K549" s="160">
        <v>0</v>
      </c>
      <c r="L549" s="141"/>
      <c r="M549" s="161">
        <v>587.9</v>
      </c>
      <c r="N549" s="161">
        <v>0</v>
      </c>
      <c r="O549" s="161">
        <v>0</v>
      </c>
      <c r="P549" s="161">
        <v>0</v>
      </c>
      <c r="Q549" s="104">
        <f t="shared" si="34"/>
        <v>587.9</v>
      </c>
      <c r="R549" s="104"/>
    </row>
    <row r="550" spans="1:19" ht="15" x14ac:dyDescent="0.25">
      <c r="A550" s="141" t="s">
        <v>148</v>
      </c>
      <c r="B550" s="141" t="s">
        <v>320</v>
      </c>
      <c r="C550" s="141" t="s">
        <v>65</v>
      </c>
      <c r="D550" s="142" t="s">
        <v>241</v>
      </c>
      <c r="E550" s="158" t="s">
        <v>369</v>
      </c>
      <c r="F550" s="142" t="s">
        <v>142</v>
      </c>
      <c r="G550" s="141">
        <v>101001</v>
      </c>
      <c r="H550" s="141" t="s">
        <v>104</v>
      </c>
      <c r="I550" s="141" t="s">
        <v>247</v>
      </c>
      <c r="J550" s="159" t="s">
        <v>248</v>
      </c>
      <c r="K550" s="160">
        <v>0</v>
      </c>
      <c r="L550" s="141"/>
      <c r="M550" s="161">
        <v>9234054.1400000006</v>
      </c>
      <c r="N550" s="161">
        <v>8995000</v>
      </c>
      <c r="O550" s="161">
        <v>162000</v>
      </c>
      <c r="P550" s="161">
        <v>9157000</v>
      </c>
      <c r="Q550" s="104">
        <f t="shared" si="34"/>
        <v>77054.140000000596</v>
      </c>
      <c r="R550" s="104"/>
      <c r="S550" s="66">
        <f t="shared" si="35"/>
        <v>1053605.5773740001</v>
      </c>
    </row>
    <row r="551" spans="1:19" ht="15" x14ac:dyDescent="0.25">
      <c r="A551" s="141" t="s">
        <v>148</v>
      </c>
      <c r="B551" s="141" t="s">
        <v>320</v>
      </c>
      <c r="C551" s="141" t="s">
        <v>65</v>
      </c>
      <c r="D551" s="142" t="s">
        <v>241</v>
      </c>
      <c r="E551" s="158" t="s">
        <v>369</v>
      </c>
      <c r="F551" s="142" t="s">
        <v>142</v>
      </c>
      <c r="G551" s="141">
        <v>101002</v>
      </c>
      <c r="H551" s="141" t="s">
        <v>105</v>
      </c>
      <c r="I551" s="141" t="s">
        <v>247</v>
      </c>
      <c r="J551" s="159" t="s">
        <v>248</v>
      </c>
      <c r="K551" s="160">
        <v>0</v>
      </c>
      <c r="L551" s="141"/>
      <c r="M551" s="161">
        <v>1565.85</v>
      </c>
      <c r="N551" s="161">
        <v>0</v>
      </c>
      <c r="O551" s="161">
        <v>0</v>
      </c>
      <c r="P551" s="161">
        <v>0</v>
      </c>
      <c r="Q551" s="104">
        <f t="shared" si="34"/>
        <v>1565.85</v>
      </c>
      <c r="R551" s="104"/>
      <c r="S551" s="66">
        <f t="shared" si="35"/>
        <v>178.66348500000001</v>
      </c>
    </row>
    <row r="552" spans="1:19" ht="15" x14ac:dyDescent="0.25">
      <c r="A552" s="141" t="s">
        <v>148</v>
      </c>
      <c r="B552" s="141" t="s">
        <v>320</v>
      </c>
      <c r="C552" s="141" t="s">
        <v>65</v>
      </c>
      <c r="D552" s="142" t="s">
        <v>241</v>
      </c>
      <c r="E552" s="158" t="s">
        <v>369</v>
      </c>
      <c r="F552" s="142" t="s">
        <v>142</v>
      </c>
      <c r="G552" s="141">
        <v>101039</v>
      </c>
      <c r="H552" s="141" t="s">
        <v>107</v>
      </c>
      <c r="I552" s="141" t="s">
        <v>247</v>
      </c>
      <c r="J552" s="159" t="s">
        <v>248</v>
      </c>
      <c r="K552" s="160">
        <v>0</v>
      </c>
      <c r="L552" s="141"/>
      <c r="M552" s="161">
        <v>259470.32</v>
      </c>
      <c r="N552" s="161">
        <v>0</v>
      </c>
      <c r="O552" s="161">
        <v>0</v>
      </c>
      <c r="P552" s="161">
        <v>0</v>
      </c>
      <c r="Q552" s="104">
        <f t="shared" si="34"/>
        <v>259470.32</v>
      </c>
      <c r="R552" s="104"/>
      <c r="S552" s="66">
        <f t="shared" si="35"/>
        <v>29605.563512000004</v>
      </c>
    </row>
    <row r="553" spans="1:19" ht="15" x14ac:dyDescent="0.25">
      <c r="A553" s="141" t="s">
        <v>148</v>
      </c>
      <c r="B553" s="141" t="s">
        <v>320</v>
      </c>
      <c r="C553" s="141" t="s">
        <v>65</v>
      </c>
      <c r="D553" s="142" t="s">
        <v>241</v>
      </c>
      <c r="E553" s="158" t="s">
        <v>369</v>
      </c>
      <c r="F553" s="142" t="s">
        <v>142</v>
      </c>
      <c r="G553" s="141">
        <v>102002</v>
      </c>
      <c r="H553" s="141" t="s">
        <v>108</v>
      </c>
      <c r="I553" s="141" t="s">
        <v>247</v>
      </c>
      <c r="J553" s="159" t="s">
        <v>248</v>
      </c>
      <c r="K553" s="160">
        <v>0</v>
      </c>
      <c r="L553" s="141"/>
      <c r="M553" s="161">
        <v>16764.150000000001</v>
      </c>
      <c r="N553" s="161">
        <v>0</v>
      </c>
      <c r="O553" s="161">
        <v>0</v>
      </c>
      <c r="P553" s="161">
        <v>0</v>
      </c>
      <c r="Q553" s="104">
        <f t="shared" si="34"/>
        <v>16764.150000000001</v>
      </c>
      <c r="R553" s="104"/>
      <c r="S553" s="66">
        <f t="shared" si="35"/>
        <v>1912.7895150000002</v>
      </c>
    </row>
    <row r="554" spans="1:19" ht="15" x14ac:dyDescent="0.25">
      <c r="A554" s="141" t="s">
        <v>148</v>
      </c>
      <c r="B554" s="141" t="s">
        <v>320</v>
      </c>
      <c r="C554" s="141" t="s">
        <v>65</v>
      </c>
      <c r="D554" s="142" t="s">
        <v>241</v>
      </c>
      <c r="E554" s="158" t="s">
        <v>369</v>
      </c>
      <c r="F554" s="142" t="s">
        <v>142</v>
      </c>
      <c r="G554" s="141">
        <v>102002</v>
      </c>
      <c r="H554" s="141" t="s">
        <v>108</v>
      </c>
      <c r="I554" s="141" t="s">
        <v>247</v>
      </c>
      <c r="J554" s="159" t="s">
        <v>286</v>
      </c>
      <c r="K554" s="160">
        <v>0</v>
      </c>
      <c r="L554" s="141"/>
      <c r="M554" s="161">
        <v>4802.1099999999997</v>
      </c>
      <c r="N554" s="161">
        <v>0</v>
      </c>
      <c r="O554" s="161">
        <v>0</v>
      </c>
      <c r="P554" s="161">
        <v>0</v>
      </c>
      <c r="Q554" s="104">
        <f t="shared" si="34"/>
        <v>4802.1099999999997</v>
      </c>
      <c r="R554" s="104"/>
      <c r="S554" s="66">
        <f t="shared" si="35"/>
        <v>547.920751</v>
      </c>
    </row>
    <row r="555" spans="1:19" ht="15" x14ac:dyDescent="0.25">
      <c r="A555" s="141" t="s">
        <v>148</v>
      </c>
      <c r="B555" s="141" t="s">
        <v>320</v>
      </c>
      <c r="C555" s="141" t="s">
        <v>65</v>
      </c>
      <c r="D555" s="142" t="s">
        <v>241</v>
      </c>
      <c r="E555" s="158" t="s">
        <v>369</v>
      </c>
      <c r="F555" s="142" t="s">
        <v>142</v>
      </c>
      <c r="G555" s="141">
        <v>102003</v>
      </c>
      <c r="H555" s="141" t="s">
        <v>106</v>
      </c>
      <c r="I555" s="141" t="s">
        <v>247</v>
      </c>
      <c r="J555" s="159" t="s">
        <v>248</v>
      </c>
      <c r="K555" s="160">
        <v>0</v>
      </c>
      <c r="L555" s="141"/>
      <c r="M555" s="161">
        <v>328701.75</v>
      </c>
      <c r="N555" s="161">
        <v>204000</v>
      </c>
      <c r="O555" s="161">
        <v>77000</v>
      </c>
      <c r="P555" s="161">
        <v>281000</v>
      </c>
      <c r="Q555" s="104">
        <f t="shared" si="34"/>
        <v>47701.75</v>
      </c>
      <c r="R555" s="104"/>
      <c r="S555" s="66">
        <f t="shared" si="35"/>
        <v>37504.869675000002</v>
      </c>
    </row>
    <row r="556" spans="1:19" ht="15" x14ac:dyDescent="0.25">
      <c r="A556" s="141" t="s">
        <v>148</v>
      </c>
      <c r="B556" s="141" t="s">
        <v>320</v>
      </c>
      <c r="C556" s="141" t="s">
        <v>65</v>
      </c>
      <c r="D556" s="142" t="s">
        <v>241</v>
      </c>
      <c r="E556" s="158" t="s">
        <v>369</v>
      </c>
      <c r="F556" s="142" t="s">
        <v>142</v>
      </c>
      <c r="G556" s="141">
        <v>102003</v>
      </c>
      <c r="H556" s="141" t="s">
        <v>106</v>
      </c>
      <c r="I556" s="141" t="s">
        <v>247</v>
      </c>
      <c r="J556" s="159" t="s">
        <v>286</v>
      </c>
      <c r="K556" s="160">
        <v>0</v>
      </c>
      <c r="L556" s="141"/>
      <c r="M556" s="161">
        <v>3201.41</v>
      </c>
      <c r="N556" s="161">
        <v>0</v>
      </c>
      <c r="O556" s="161">
        <v>0</v>
      </c>
      <c r="P556" s="161">
        <v>0</v>
      </c>
      <c r="Q556" s="104">
        <f t="shared" si="34"/>
        <v>3201.41</v>
      </c>
      <c r="R556" s="104"/>
      <c r="S556" s="66">
        <f t="shared" si="35"/>
        <v>365.28088100000002</v>
      </c>
    </row>
    <row r="557" spans="1:19" ht="15" x14ac:dyDescent="0.25">
      <c r="A557" s="141" t="s">
        <v>148</v>
      </c>
      <c r="B557" s="141" t="s">
        <v>320</v>
      </c>
      <c r="C557" s="141" t="s">
        <v>65</v>
      </c>
      <c r="D557" s="142" t="s">
        <v>241</v>
      </c>
      <c r="E557" s="158" t="s">
        <v>369</v>
      </c>
      <c r="F557" s="142" t="s">
        <v>142</v>
      </c>
      <c r="G557" s="141">
        <v>102005</v>
      </c>
      <c r="H557" s="141" t="s">
        <v>112</v>
      </c>
      <c r="I557" s="141" t="s">
        <v>247</v>
      </c>
      <c r="J557" s="159" t="s">
        <v>248</v>
      </c>
      <c r="K557" s="160">
        <v>0</v>
      </c>
      <c r="L557" s="141"/>
      <c r="M557" s="161">
        <v>129455.11</v>
      </c>
      <c r="N557" s="161">
        <v>0</v>
      </c>
      <c r="O557" s="161">
        <v>0</v>
      </c>
      <c r="P557" s="161">
        <v>0</v>
      </c>
      <c r="Q557" s="104">
        <f t="shared" si="34"/>
        <v>129455.11</v>
      </c>
      <c r="R557" s="104"/>
      <c r="S557" s="66">
        <f t="shared" si="35"/>
        <v>14770.828051</v>
      </c>
    </row>
    <row r="558" spans="1:19" ht="15" x14ac:dyDescent="0.25">
      <c r="A558" s="141" t="s">
        <v>148</v>
      </c>
      <c r="B558" s="141" t="s">
        <v>320</v>
      </c>
      <c r="C558" s="141" t="s">
        <v>65</v>
      </c>
      <c r="D558" s="142" t="s">
        <v>241</v>
      </c>
      <c r="E558" s="158" t="s">
        <v>369</v>
      </c>
      <c r="F558" s="142" t="s">
        <v>142</v>
      </c>
      <c r="G558" s="141">
        <v>102005</v>
      </c>
      <c r="H558" s="141" t="s">
        <v>112</v>
      </c>
      <c r="I558" s="141" t="s">
        <v>247</v>
      </c>
      <c r="J558" s="159" t="s">
        <v>286</v>
      </c>
      <c r="K558" s="160">
        <v>0</v>
      </c>
      <c r="L558" s="141"/>
      <c r="M558" s="161">
        <v>7416.6</v>
      </c>
      <c r="N558" s="161">
        <v>0</v>
      </c>
      <c r="O558" s="161">
        <v>0</v>
      </c>
      <c r="P558" s="161">
        <v>0</v>
      </c>
      <c r="Q558" s="104">
        <f t="shared" si="34"/>
        <v>7416.6</v>
      </c>
      <c r="R558" s="104"/>
      <c r="S558" s="66">
        <f t="shared" si="35"/>
        <v>846.23406000000011</v>
      </c>
    </row>
    <row r="559" spans="1:19" ht="15" x14ac:dyDescent="0.25">
      <c r="A559" s="141" t="s">
        <v>148</v>
      </c>
      <c r="B559" s="141" t="s">
        <v>320</v>
      </c>
      <c r="C559" s="141" t="s">
        <v>65</v>
      </c>
      <c r="D559" s="142" t="s">
        <v>241</v>
      </c>
      <c r="E559" s="158" t="s">
        <v>369</v>
      </c>
      <c r="F559" s="142" t="s">
        <v>142</v>
      </c>
      <c r="G559" s="141">
        <v>102062</v>
      </c>
      <c r="H559" s="141" t="s">
        <v>113</v>
      </c>
      <c r="I559" s="141" t="s">
        <v>247</v>
      </c>
      <c r="J559" s="159" t="s">
        <v>248</v>
      </c>
      <c r="K559" s="160">
        <v>0</v>
      </c>
      <c r="L559" s="141"/>
      <c r="M559" s="161">
        <v>6486.6</v>
      </c>
      <c r="N559" s="161">
        <v>0</v>
      </c>
      <c r="O559" s="161">
        <v>0</v>
      </c>
      <c r="P559" s="161">
        <v>0</v>
      </c>
      <c r="Q559" s="104">
        <f t="shared" si="34"/>
        <v>6486.6</v>
      </c>
      <c r="R559" s="104"/>
      <c r="S559" s="66">
        <f t="shared" si="35"/>
        <v>740.12106000000006</v>
      </c>
    </row>
    <row r="560" spans="1:19" ht="15" x14ac:dyDescent="0.25">
      <c r="A560" s="141" t="s">
        <v>148</v>
      </c>
      <c r="B560" s="141" t="s">
        <v>320</v>
      </c>
      <c r="C560" s="141" t="s">
        <v>65</v>
      </c>
      <c r="D560" s="142" t="s">
        <v>241</v>
      </c>
      <c r="E560" s="158" t="s">
        <v>369</v>
      </c>
      <c r="F560" s="142" t="s">
        <v>142</v>
      </c>
      <c r="G560" s="141">
        <v>103001</v>
      </c>
      <c r="H560" s="141" t="s">
        <v>109</v>
      </c>
      <c r="I560" s="141" t="s">
        <v>247</v>
      </c>
      <c r="J560" s="159" t="s">
        <v>248</v>
      </c>
      <c r="K560" s="160">
        <v>0</v>
      </c>
      <c r="L560" s="141"/>
      <c r="M560" s="161">
        <v>7567.35</v>
      </c>
      <c r="N560" s="161">
        <v>0</v>
      </c>
      <c r="O560" s="161">
        <v>44000</v>
      </c>
      <c r="P560" s="161">
        <v>44000</v>
      </c>
      <c r="Q560" s="104">
        <f t="shared" si="34"/>
        <v>-36432.65</v>
      </c>
      <c r="R560" s="104"/>
      <c r="S560" s="66">
        <f t="shared" si="35"/>
        <v>863.43463500000018</v>
      </c>
    </row>
    <row r="561" spans="1:19" ht="15" x14ac:dyDescent="0.25">
      <c r="A561" s="141" t="s">
        <v>148</v>
      </c>
      <c r="B561" s="141" t="s">
        <v>320</v>
      </c>
      <c r="C561" s="141" t="s">
        <v>65</v>
      </c>
      <c r="D561" s="142" t="s">
        <v>241</v>
      </c>
      <c r="E561" s="158" t="s">
        <v>369</v>
      </c>
      <c r="F561" s="142" t="s">
        <v>142</v>
      </c>
      <c r="G561" s="141">
        <v>103062</v>
      </c>
      <c r="H561" s="141" t="s">
        <v>114</v>
      </c>
      <c r="I561" s="141" t="s">
        <v>247</v>
      </c>
      <c r="J561" s="159" t="s">
        <v>248</v>
      </c>
      <c r="K561" s="160">
        <v>0</v>
      </c>
      <c r="L561" s="141"/>
      <c r="M561" s="161">
        <v>465.92</v>
      </c>
      <c r="N561" s="161">
        <v>0</v>
      </c>
      <c r="O561" s="161">
        <v>0</v>
      </c>
      <c r="P561" s="161">
        <v>0</v>
      </c>
      <c r="Q561" s="104">
        <f t="shared" si="34"/>
        <v>465.92</v>
      </c>
      <c r="R561" s="104"/>
      <c r="S561" s="66">
        <f t="shared" si="35"/>
        <v>53.16147200000001</v>
      </c>
    </row>
    <row r="562" spans="1:19" ht="15" x14ac:dyDescent="0.25">
      <c r="A562" s="141" t="s">
        <v>148</v>
      </c>
      <c r="B562" s="141" t="s">
        <v>320</v>
      </c>
      <c r="C562" s="141" t="s">
        <v>65</v>
      </c>
      <c r="D562" s="142" t="s">
        <v>241</v>
      </c>
      <c r="E562" s="158" t="s">
        <v>369</v>
      </c>
      <c r="F562" s="142" t="s">
        <v>142</v>
      </c>
      <c r="G562" s="141">
        <v>103069</v>
      </c>
      <c r="H562" s="141" t="s">
        <v>214</v>
      </c>
      <c r="I562" s="141" t="s">
        <v>247</v>
      </c>
      <c r="J562" s="159" t="s">
        <v>248</v>
      </c>
      <c r="K562" s="160">
        <v>0</v>
      </c>
      <c r="L562" s="141"/>
      <c r="M562" s="161">
        <v>8407.0400000000009</v>
      </c>
      <c r="N562" s="161">
        <v>0</v>
      </c>
      <c r="O562" s="161">
        <v>0</v>
      </c>
      <c r="P562" s="161">
        <v>0</v>
      </c>
      <c r="Q562" s="104">
        <f t="shared" si="34"/>
        <v>8407.0400000000009</v>
      </c>
      <c r="R562" s="104"/>
      <c r="S562" s="66">
        <f t="shared" si="35"/>
        <v>959.24326400000018</v>
      </c>
    </row>
    <row r="563" spans="1:19" ht="15" x14ac:dyDescent="0.25">
      <c r="A563" s="141" t="s">
        <v>148</v>
      </c>
      <c r="B563" s="141" t="s">
        <v>320</v>
      </c>
      <c r="C563" s="141" t="s">
        <v>65</v>
      </c>
      <c r="D563" s="142" t="s">
        <v>241</v>
      </c>
      <c r="E563" s="158" t="s">
        <v>369</v>
      </c>
      <c r="F563" s="142" t="s">
        <v>142</v>
      </c>
      <c r="G563" s="141">
        <v>104000</v>
      </c>
      <c r="H563" s="141" t="s">
        <v>110</v>
      </c>
      <c r="I563" s="141" t="s">
        <v>247</v>
      </c>
      <c r="J563" s="159" t="s">
        <v>248</v>
      </c>
      <c r="K563" s="160">
        <v>0</v>
      </c>
      <c r="L563" s="141"/>
      <c r="M563" s="161">
        <v>51263.48</v>
      </c>
      <c r="N563" s="161">
        <v>71000</v>
      </c>
      <c r="O563" s="161">
        <v>1000</v>
      </c>
      <c r="P563" s="161">
        <v>72000</v>
      </c>
      <c r="Q563" s="104">
        <f t="shared" si="34"/>
        <v>-20736.519999999997</v>
      </c>
      <c r="R563" s="129"/>
      <c r="S563" s="66">
        <f t="shared" si="35"/>
        <v>5849.1630680000007</v>
      </c>
    </row>
    <row r="564" spans="1:19" ht="15" x14ac:dyDescent="0.25">
      <c r="A564" s="141" t="s">
        <v>148</v>
      </c>
      <c r="B564" s="141" t="s">
        <v>320</v>
      </c>
      <c r="C564" s="141" t="s">
        <v>65</v>
      </c>
      <c r="D564" s="142" t="s">
        <v>241</v>
      </c>
      <c r="E564" s="158" t="s">
        <v>369</v>
      </c>
      <c r="F564" s="142" t="s">
        <v>142</v>
      </c>
      <c r="G564" s="141">
        <v>105003</v>
      </c>
      <c r="H564" s="141" t="s">
        <v>268</v>
      </c>
      <c r="I564" s="141" t="s">
        <v>247</v>
      </c>
      <c r="J564" s="159" t="s">
        <v>248</v>
      </c>
      <c r="K564" s="160">
        <v>0</v>
      </c>
      <c r="L564" s="141"/>
      <c r="M564" s="163">
        <v>258852.61</v>
      </c>
      <c r="N564" s="161">
        <v>0</v>
      </c>
      <c r="O564" s="161">
        <v>0</v>
      </c>
      <c r="P564" s="161">
        <v>0</v>
      </c>
      <c r="Q564" s="104">
        <f t="shared" si="34"/>
        <v>258852.61</v>
      </c>
      <c r="R564" s="129"/>
      <c r="S564" s="66">
        <f t="shared" si="35"/>
        <v>29535.082801</v>
      </c>
    </row>
    <row r="565" spans="1:19" ht="15" x14ac:dyDescent="0.25">
      <c r="A565" s="141" t="s">
        <v>148</v>
      </c>
      <c r="B565" s="141" t="s">
        <v>320</v>
      </c>
      <c r="C565" s="141" t="s">
        <v>65</v>
      </c>
      <c r="D565" s="142" t="s">
        <v>241</v>
      </c>
      <c r="E565" s="158" t="s">
        <v>369</v>
      </c>
      <c r="F565" s="142" t="s">
        <v>142</v>
      </c>
      <c r="G565" s="141">
        <v>105098</v>
      </c>
      <c r="H565" s="141" t="s">
        <v>265</v>
      </c>
      <c r="I565" s="141" t="s">
        <v>247</v>
      </c>
      <c r="J565" s="159" t="s">
        <v>302</v>
      </c>
      <c r="K565" s="160">
        <v>0</v>
      </c>
      <c r="L565" s="141"/>
      <c r="M565" s="161">
        <v>-4392</v>
      </c>
      <c r="N565" s="161">
        <v>0</v>
      </c>
      <c r="O565" s="161">
        <v>0</v>
      </c>
      <c r="P565" s="161">
        <v>0</v>
      </c>
      <c r="Q565" s="104">
        <f t="shared" si="34"/>
        <v>-4392</v>
      </c>
      <c r="R565" s="129"/>
      <c r="S565" s="66">
        <f t="shared" si="35"/>
        <v>-501.12720000000007</v>
      </c>
    </row>
    <row r="566" spans="1:19" ht="15" x14ac:dyDescent="0.25">
      <c r="A566" s="141" t="s">
        <v>148</v>
      </c>
      <c r="B566" s="141" t="s">
        <v>320</v>
      </c>
      <c r="C566" s="141" t="s">
        <v>65</v>
      </c>
      <c r="D566" s="142" t="s">
        <v>241</v>
      </c>
      <c r="E566" s="158" t="s">
        <v>369</v>
      </c>
      <c r="F566" s="142" t="s">
        <v>142</v>
      </c>
      <c r="G566" s="141">
        <v>105099</v>
      </c>
      <c r="H566" s="141" t="s">
        <v>103</v>
      </c>
      <c r="I566" s="141" t="s">
        <v>247</v>
      </c>
      <c r="J566" s="159" t="s">
        <v>303</v>
      </c>
      <c r="K566" s="160">
        <v>0</v>
      </c>
      <c r="L566" s="141"/>
      <c r="M566" s="161">
        <v>4392</v>
      </c>
      <c r="N566" s="161">
        <v>0</v>
      </c>
      <c r="O566" s="161">
        <v>0</v>
      </c>
      <c r="P566" s="161">
        <v>0</v>
      </c>
      <c r="Q566" s="104">
        <f t="shared" si="34"/>
        <v>4392</v>
      </c>
      <c r="R566" s="129"/>
      <c r="S566" s="66">
        <f t="shared" si="35"/>
        <v>501.12720000000007</v>
      </c>
    </row>
    <row r="567" spans="1:19" ht="15" x14ac:dyDescent="0.25">
      <c r="A567" s="141" t="s">
        <v>148</v>
      </c>
      <c r="B567" s="141" t="s">
        <v>320</v>
      </c>
      <c r="C567" s="141" t="s">
        <v>65</v>
      </c>
      <c r="D567" s="142" t="s">
        <v>241</v>
      </c>
      <c r="E567" s="158" t="s">
        <v>369</v>
      </c>
      <c r="F567" s="142" t="s">
        <v>142</v>
      </c>
      <c r="G567" s="144">
        <v>109001</v>
      </c>
      <c r="H567" s="141" t="s">
        <v>101</v>
      </c>
      <c r="I567" s="141" t="s">
        <v>247</v>
      </c>
      <c r="J567" s="159" t="s">
        <v>248</v>
      </c>
      <c r="K567" s="160">
        <v>0</v>
      </c>
      <c r="L567" s="141"/>
      <c r="M567" s="161">
        <v>949759.88</v>
      </c>
      <c r="N567" s="161">
        <v>871000</v>
      </c>
      <c r="O567" s="161">
        <v>28000</v>
      </c>
      <c r="P567" s="161">
        <v>899000</v>
      </c>
      <c r="Q567" s="104">
        <f t="shared" si="34"/>
        <v>50759.880000000005</v>
      </c>
      <c r="R567" s="129">
        <f t="shared" ref="R567:R568" si="37">M567*-1.141</f>
        <v>-1083676.02308</v>
      </c>
    </row>
    <row r="568" spans="1:19" ht="15" x14ac:dyDescent="0.25">
      <c r="A568" s="141" t="s">
        <v>148</v>
      </c>
      <c r="B568" s="141" t="s">
        <v>320</v>
      </c>
      <c r="C568" s="141" t="s">
        <v>65</v>
      </c>
      <c r="D568" s="142" t="s">
        <v>241</v>
      </c>
      <c r="E568" s="158" t="s">
        <v>369</v>
      </c>
      <c r="F568" s="142" t="s">
        <v>142</v>
      </c>
      <c r="G568" s="144">
        <v>109001</v>
      </c>
      <c r="H568" s="141" t="s">
        <v>101</v>
      </c>
      <c r="I568" s="141" t="s">
        <v>247</v>
      </c>
      <c r="J568" s="159" t="s">
        <v>286</v>
      </c>
      <c r="K568" s="160">
        <v>0</v>
      </c>
      <c r="L568" s="141"/>
      <c r="M568" s="161">
        <v>1461.16</v>
      </c>
      <c r="N568" s="161">
        <v>0</v>
      </c>
      <c r="O568" s="161">
        <v>0</v>
      </c>
      <c r="P568" s="161">
        <v>0</v>
      </c>
      <c r="Q568" s="104">
        <f t="shared" si="34"/>
        <v>1461.16</v>
      </c>
      <c r="R568" s="129">
        <f t="shared" si="37"/>
        <v>-1667.1835600000002</v>
      </c>
    </row>
    <row r="569" spans="1:19" ht="15" x14ac:dyDescent="0.25">
      <c r="A569" s="141" t="s">
        <v>148</v>
      </c>
      <c r="B569" s="141" t="s">
        <v>320</v>
      </c>
      <c r="C569" s="141" t="s">
        <v>65</v>
      </c>
      <c r="D569" s="142" t="s">
        <v>241</v>
      </c>
      <c r="E569" s="158" t="s">
        <v>369</v>
      </c>
      <c r="F569" s="142" t="s">
        <v>142</v>
      </c>
      <c r="G569" s="144">
        <v>109901</v>
      </c>
      <c r="H569" s="141" t="s">
        <v>102</v>
      </c>
      <c r="I569" s="141" t="s">
        <v>247</v>
      </c>
      <c r="J569" s="159" t="s">
        <v>248</v>
      </c>
      <c r="K569" s="160">
        <v>0</v>
      </c>
      <c r="L569" s="141"/>
      <c r="M569" s="161">
        <v>1493252.69</v>
      </c>
      <c r="N569" s="161">
        <v>1430000</v>
      </c>
      <c r="O569" s="161">
        <v>44000</v>
      </c>
      <c r="P569" s="161">
        <v>1474000</v>
      </c>
      <c r="Q569" s="104">
        <f t="shared" si="34"/>
        <v>19252.689999999944</v>
      </c>
      <c r="R569"/>
    </row>
    <row r="570" spans="1:19" ht="15" x14ac:dyDescent="0.25">
      <c r="A570" s="141" t="s">
        <v>148</v>
      </c>
      <c r="B570" s="141" t="s">
        <v>320</v>
      </c>
      <c r="C570" s="141" t="s">
        <v>65</v>
      </c>
      <c r="D570" s="142" t="s">
        <v>241</v>
      </c>
      <c r="E570" s="158" t="s">
        <v>369</v>
      </c>
      <c r="F570" s="142" t="s">
        <v>142</v>
      </c>
      <c r="G570" s="144">
        <v>109901</v>
      </c>
      <c r="H570" s="141" t="s">
        <v>102</v>
      </c>
      <c r="I570" s="141" t="s">
        <v>247</v>
      </c>
      <c r="J570" s="159" t="s">
        <v>303</v>
      </c>
      <c r="K570" s="160">
        <v>0</v>
      </c>
      <c r="L570" s="141"/>
      <c r="M570" s="161">
        <v>619.32000000000005</v>
      </c>
      <c r="N570" s="161">
        <v>0</v>
      </c>
      <c r="O570" s="161">
        <v>0</v>
      </c>
      <c r="P570" s="161">
        <v>0</v>
      </c>
      <c r="Q570" s="104">
        <f t="shared" si="34"/>
        <v>619.32000000000005</v>
      </c>
      <c r="R570"/>
    </row>
    <row r="571" spans="1:19" ht="15" x14ac:dyDescent="0.25">
      <c r="A571" s="141" t="s">
        <v>148</v>
      </c>
      <c r="B571" s="141" t="s">
        <v>320</v>
      </c>
      <c r="C571" s="141" t="s">
        <v>65</v>
      </c>
      <c r="D571" s="142" t="s">
        <v>241</v>
      </c>
      <c r="E571" s="158" t="s">
        <v>369</v>
      </c>
      <c r="F571" s="142" t="s">
        <v>142</v>
      </c>
      <c r="G571" s="144">
        <v>109901</v>
      </c>
      <c r="H571" s="141" t="s">
        <v>102</v>
      </c>
      <c r="I571" s="141" t="s">
        <v>247</v>
      </c>
      <c r="J571" s="159" t="s">
        <v>286</v>
      </c>
      <c r="K571" s="160">
        <v>0</v>
      </c>
      <c r="L571" s="141"/>
      <c r="M571" s="161">
        <v>2380.25</v>
      </c>
      <c r="N571" s="161">
        <v>0</v>
      </c>
      <c r="O571" s="161">
        <v>0</v>
      </c>
      <c r="P571" s="161">
        <v>0</v>
      </c>
      <c r="Q571" s="104">
        <f t="shared" si="34"/>
        <v>2380.25</v>
      </c>
      <c r="R571" s="104"/>
    </row>
    <row r="572" spans="1:19" ht="15" x14ac:dyDescent="0.25">
      <c r="A572" s="141" t="s">
        <v>148</v>
      </c>
      <c r="B572" s="141" t="s">
        <v>321</v>
      </c>
      <c r="C572" s="141" t="s">
        <v>165</v>
      </c>
      <c r="D572" s="142" t="s">
        <v>241</v>
      </c>
      <c r="E572" s="158" t="s">
        <v>369</v>
      </c>
      <c r="F572" s="142" t="s">
        <v>142</v>
      </c>
      <c r="G572" s="141">
        <v>101001</v>
      </c>
      <c r="H572" s="141" t="s">
        <v>104</v>
      </c>
      <c r="I572" s="141" t="s">
        <v>247</v>
      </c>
      <c r="J572" s="159" t="s">
        <v>248</v>
      </c>
      <c r="K572" s="160">
        <v>0</v>
      </c>
      <c r="L572" s="141"/>
      <c r="M572" s="161">
        <v>8465598.6400000006</v>
      </c>
      <c r="N572" s="161">
        <v>8674000</v>
      </c>
      <c r="O572" s="161">
        <v>98000</v>
      </c>
      <c r="P572" s="161">
        <v>8772000</v>
      </c>
      <c r="Q572" s="104">
        <f t="shared" si="34"/>
        <v>-306401.3599999994</v>
      </c>
      <c r="R572" s="104"/>
      <c r="S572" s="66">
        <f t="shared" si="35"/>
        <v>965924.80482400011</v>
      </c>
    </row>
    <row r="573" spans="1:19" ht="15" x14ac:dyDescent="0.25">
      <c r="A573" s="141" t="s">
        <v>148</v>
      </c>
      <c r="B573" s="141" t="s">
        <v>321</v>
      </c>
      <c r="C573" s="141" t="s">
        <v>165</v>
      </c>
      <c r="D573" s="142" t="s">
        <v>241</v>
      </c>
      <c r="E573" s="158" t="s">
        <v>369</v>
      </c>
      <c r="F573" s="142" t="s">
        <v>142</v>
      </c>
      <c r="G573" s="141">
        <v>101002</v>
      </c>
      <c r="H573" s="141" t="s">
        <v>105</v>
      </c>
      <c r="I573" s="141" t="s">
        <v>247</v>
      </c>
      <c r="J573" s="159" t="s">
        <v>248</v>
      </c>
      <c r="K573" s="160">
        <v>0</v>
      </c>
      <c r="L573" s="141"/>
      <c r="M573" s="161">
        <v>7396.45</v>
      </c>
      <c r="N573" s="161">
        <v>0</v>
      </c>
      <c r="O573" s="161">
        <v>0</v>
      </c>
      <c r="P573" s="161">
        <v>0</v>
      </c>
      <c r="Q573" s="104">
        <f t="shared" si="34"/>
        <v>7396.45</v>
      </c>
      <c r="R573" s="104"/>
      <c r="S573" s="66">
        <f t="shared" si="35"/>
        <v>843.93494499999997</v>
      </c>
    </row>
    <row r="574" spans="1:19" ht="15" x14ac:dyDescent="0.25">
      <c r="A574" s="141" t="s">
        <v>148</v>
      </c>
      <c r="B574" s="141" t="s">
        <v>321</v>
      </c>
      <c r="C574" s="141" t="s">
        <v>165</v>
      </c>
      <c r="D574" s="142" t="s">
        <v>241</v>
      </c>
      <c r="E574" s="158" t="s">
        <v>369</v>
      </c>
      <c r="F574" s="142" t="s">
        <v>142</v>
      </c>
      <c r="G574" s="141">
        <v>101002</v>
      </c>
      <c r="H574" s="141" t="s">
        <v>105</v>
      </c>
      <c r="I574" s="141" t="s">
        <v>247</v>
      </c>
      <c r="J574" s="159" t="s">
        <v>286</v>
      </c>
      <c r="K574" s="160">
        <v>0</v>
      </c>
      <c r="L574" s="141"/>
      <c r="M574" s="161">
        <v>5240.72</v>
      </c>
      <c r="N574" s="161">
        <v>0</v>
      </c>
      <c r="O574" s="161">
        <v>0</v>
      </c>
      <c r="P574" s="161">
        <v>0</v>
      </c>
      <c r="Q574" s="104">
        <f t="shared" si="34"/>
        <v>5240.72</v>
      </c>
      <c r="R574" s="104"/>
      <c r="S574" s="66">
        <f t="shared" si="35"/>
        <v>597.96615199999997</v>
      </c>
    </row>
    <row r="575" spans="1:19" ht="15" x14ac:dyDescent="0.25">
      <c r="A575" s="141" t="s">
        <v>148</v>
      </c>
      <c r="B575" s="141" t="s">
        <v>321</v>
      </c>
      <c r="C575" s="141" t="s">
        <v>165</v>
      </c>
      <c r="D575" s="142" t="s">
        <v>241</v>
      </c>
      <c r="E575" s="158" t="s">
        <v>369</v>
      </c>
      <c r="F575" s="142" t="s">
        <v>142</v>
      </c>
      <c r="G575" s="141">
        <v>101039</v>
      </c>
      <c r="H575" s="141" t="s">
        <v>107</v>
      </c>
      <c r="I575" s="141" t="s">
        <v>247</v>
      </c>
      <c r="J575" s="159" t="s">
        <v>248</v>
      </c>
      <c r="K575" s="160">
        <v>0</v>
      </c>
      <c r="L575" s="141"/>
      <c r="M575" s="161">
        <v>247973.64</v>
      </c>
      <c r="N575" s="161">
        <v>0</v>
      </c>
      <c r="O575" s="161">
        <v>0</v>
      </c>
      <c r="P575" s="161">
        <v>0</v>
      </c>
      <c r="Q575" s="104">
        <f t="shared" si="34"/>
        <v>247973.64</v>
      </c>
      <c r="R575" s="104"/>
      <c r="S575" s="66">
        <f t="shared" si="35"/>
        <v>28293.792324000002</v>
      </c>
    </row>
    <row r="576" spans="1:19" ht="15" x14ac:dyDescent="0.25">
      <c r="A576" s="141" t="s">
        <v>148</v>
      </c>
      <c r="B576" s="141" t="s">
        <v>321</v>
      </c>
      <c r="C576" s="141" t="s">
        <v>165</v>
      </c>
      <c r="D576" s="142" t="s">
        <v>241</v>
      </c>
      <c r="E576" s="158" t="s">
        <v>369</v>
      </c>
      <c r="F576" s="142" t="s">
        <v>142</v>
      </c>
      <c r="G576" s="141">
        <v>101039</v>
      </c>
      <c r="H576" s="141" t="s">
        <v>107</v>
      </c>
      <c r="I576" s="141" t="s">
        <v>247</v>
      </c>
      <c r="J576" s="159" t="s">
        <v>364</v>
      </c>
      <c r="K576" s="160">
        <v>0</v>
      </c>
      <c r="L576" s="141"/>
      <c r="M576" s="161">
        <v>22553.3</v>
      </c>
      <c r="N576" s="161">
        <v>0</v>
      </c>
      <c r="O576" s="161">
        <v>28000</v>
      </c>
      <c r="P576" s="161">
        <v>28000</v>
      </c>
      <c r="Q576" s="104">
        <f t="shared" si="34"/>
        <v>-5446.7000000000007</v>
      </c>
      <c r="R576" s="104"/>
      <c r="S576" s="66">
        <f t="shared" si="35"/>
        <v>2573.3315299999999</v>
      </c>
    </row>
    <row r="577" spans="1:19" ht="15" x14ac:dyDescent="0.25">
      <c r="A577" s="141" t="s">
        <v>148</v>
      </c>
      <c r="B577" s="141" t="s">
        <v>321</v>
      </c>
      <c r="C577" s="141" t="s">
        <v>165</v>
      </c>
      <c r="D577" s="142" t="s">
        <v>241</v>
      </c>
      <c r="E577" s="158" t="s">
        <v>369</v>
      </c>
      <c r="F577" s="142" t="s">
        <v>142</v>
      </c>
      <c r="G577" s="141">
        <v>102002</v>
      </c>
      <c r="H577" s="141" t="s">
        <v>108</v>
      </c>
      <c r="I577" s="141" t="s">
        <v>247</v>
      </c>
      <c r="J577" s="159" t="s">
        <v>248</v>
      </c>
      <c r="K577" s="160">
        <v>0</v>
      </c>
      <c r="L577" s="141"/>
      <c r="M577" s="161">
        <v>30699.65</v>
      </c>
      <c r="N577" s="161">
        <v>0</v>
      </c>
      <c r="O577" s="161">
        <v>0</v>
      </c>
      <c r="P577" s="161">
        <v>0</v>
      </c>
      <c r="Q577" s="104">
        <f t="shared" si="34"/>
        <v>30699.65</v>
      </c>
      <c r="R577" s="104"/>
      <c r="S577" s="66">
        <f t="shared" si="35"/>
        <v>3502.8300650000001</v>
      </c>
    </row>
    <row r="578" spans="1:19" ht="15" x14ac:dyDescent="0.25">
      <c r="A578" s="141" t="s">
        <v>148</v>
      </c>
      <c r="B578" s="141" t="s">
        <v>321</v>
      </c>
      <c r="C578" s="141" t="s">
        <v>165</v>
      </c>
      <c r="D578" s="142" t="s">
        <v>241</v>
      </c>
      <c r="E578" s="158" t="s">
        <v>369</v>
      </c>
      <c r="F578" s="142" t="s">
        <v>142</v>
      </c>
      <c r="G578" s="141">
        <v>102003</v>
      </c>
      <c r="H578" s="141" t="s">
        <v>106</v>
      </c>
      <c r="I578" s="141" t="s">
        <v>247</v>
      </c>
      <c r="J578" s="159" t="s">
        <v>248</v>
      </c>
      <c r="K578" s="160">
        <v>0</v>
      </c>
      <c r="L578" s="141"/>
      <c r="M578" s="161">
        <v>941746.52</v>
      </c>
      <c r="N578" s="161">
        <v>193000</v>
      </c>
      <c r="O578" s="161">
        <v>188000</v>
      </c>
      <c r="P578" s="161">
        <v>381000</v>
      </c>
      <c r="Q578" s="104">
        <f t="shared" si="34"/>
        <v>560746.52</v>
      </c>
      <c r="R578" s="104"/>
      <c r="S578" s="66">
        <f t="shared" si="35"/>
        <v>107453.277932</v>
      </c>
    </row>
    <row r="579" spans="1:19" ht="15" x14ac:dyDescent="0.25">
      <c r="A579" s="141" t="s">
        <v>148</v>
      </c>
      <c r="B579" s="141" t="s">
        <v>321</v>
      </c>
      <c r="C579" s="141" t="s">
        <v>165</v>
      </c>
      <c r="D579" s="142" t="s">
        <v>241</v>
      </c>
      <c r="E579" s="158" t="s">
        <v>369</v>
      </c>
      <c r="F579" s="142" t="s">
        <v>142</v>
      </c>
      <c r="G579" s="141">
        <v>102003</v>
      </c>
      <c r="H579" s="141" t="s">
        <v>106</v>
      </c>
      <c r="I579" s="141" t="s">
        <v>247</v>
      </c>
      <c r="J579" s="159" t="s">
        <v>288</v>
      </c>
      <c r="K579" s="160">
        <v>0</v>
      </c>
      <c r="L579" s="141"/>
      <c r="M579" s="161">
        <v>15337.07</v>
      </c>
      <c r="N579" s="161">
        <v>0</v>
      </c>
      <c r="O579" s="161">
        <v>10000</v>
      </c>
      <c r="P579" s="161">
        <v>10000</v>
      </c>
      <c r="Q579" s="104">
        <f t="shared" si="34"/>
        <v>5337.07</v>
      </c>
      <c r="R579" s="104"/>
      <c r="S579" s="66">
        <f t="shared" si="35"/>
        <v>1749.959687</v>
      </c>
    </row>
    <row r="580" spans="1:19" ht="15" x14ac:dyDescent="0.25">
      <c r="A580" s="141" t="s">
        <v>148</v>
      </c>
      <c r="B580" s="141" t="s">
        <v>321</v>
      </c>
      <c r="C580" s="141" t="s">
        <v>165</v>
      </c>
      <c r="D580" s="142" t="s">
        <v>241</v>
      </c>
      <c r="E580" s="158" t="s">
        <v>369</v>
      </c>
      <c r="F580" s="142" t="s">
        <v>142</v>
      </c>
      <c r="G580" s="141">
        <v>102003</v>
      </c>
      <c r="H580" s="141" t="s">
        <v>106</v>
      </c>
      <c r="I580" s="141" t="s">
        <v>247</v>
      </c>
      <c r="J580" s="159" t="s">
        <v>286</v>
      </c>
      <c r="K580" s="160">
        <v>0</v>
      </c>
      <c r="L580" s="141"/>
      <c r="M580" s="161">
        <v>1489.53</v>
      </c>
      <c r="N580" s="161">
        <v>0</v>
      </c>
      <c r="O580" s="161">
        <v>0</v>
      </c>
      <c r="P580" s="161">
        <v>0</v>
      </c>
      <c r="Q580" s="104">
        <f t="shared" si="34"/>
        <v>1489.53</v>
      </c>
      <c r="R580" s="104"/>
      <c r="S580" s="66">
        <f t="shared" si="35"/>
        <v>169.95537300000001</v>
      </c>
    </row>
    <row r="581" spans="1:19" ht="15" x14ac:dyDescent="0.25">
      <c r="A581" s="141" t="s">
        <v>148</v>
      </c>
      <c r="B581" s="141" t="s">
        <v>321</v>
      </c>
      <c r="C581" s="141" t="s">
        <v>165</v>
      </c>
      <c r="D581" s="142" t="s">
        <v>241</v>
      </c>
      <c r="E581" s="158" t="s">
        <v>369</v>
      </c>
      <c r="F581" s="142" t="s">
        <v>142</v>
      </c>
      <c r="G581" s="141">
        <v>102005</v>
      </c>
      <c r="H581" s="141" t="s">
        <v>112</v>
      </c>
      <c r="I581" s="141" t="s">
        <v>247</v>
      </c>
      <c r="J581" s="159" t="s">
        <v>248</v>
      </c>
      <c r="K581" s="160">
        <v>0</v>
      </c>
      <c r="L581" s="141"/>
      <c r="M581" s="161">
        <v>116192.55</v>
      </c>
      <c r="N581" s="161">
        <v>0</v>
      </c>
      <c r="O581" s="161">
        <v>0</v>
      </c>
      <c r="P581" s="161">
        <v>0</v>
      </c>
      <c r="Q581" s="104">
        <f t="shared" si="34"/>
        <v>116192.55</v>
      </c>
      <c r="R581" s="104"/>
      <c r="S581" s="66">
        <f t="shared" si="35"/>
        <v>13257.569955000001</v>
      </c>
    </row>
    <row r="582" spans="1:19" ht="15" x14ac:dyDescent="0.25">
      <c r="A582" s="141" t="s">
        <v>148</v>
      </c>
      <c r="B582" s="141" t="s">
        <v>321</v>
      </c>
      <c r="C582" s="141" t="s">
        <v>165</v>
      </c>
      <c r="D582" s="142" t="s">
        <v>241</v>
      </c>
      <c r="E582" s="158" t="s">
        <v>369</v>
      </c>
      <c r="F582" s="142" t="s">
        <v>142</v>
      </c>
      <c r="G582" s="141">
        <v>102062</v>
      </c>
      <c r="H582" s="141" t="s">
        <v>113</v>
      </c>
      <c r="I582" s="141" t="s">
        <v>247</v>
      </c>
      <c r="J582" s="159" t="s">
        <v>248</v>
      </c>
      <c r="K582" s="160">
        <v>0</v>
      </c>
      <c r="L582" s="141"/>
      <c r="M582" s="161">
        <v>7598.08</v>
      </c>
      <c r="N582" s="161">
        <v>0</v>
      </c>
      <c r="O582" s="161">
        <v>0</v>
      </c>
      <c r="P582" s="161">
        <v>0</v>
      </c>
      <c r="Q582" s="104">
        <f t="shared" si="34"/>
        <v>7598.08</v>
      </c>
      <c r="R582" s="104"/>
      <c r="S582" s="66">
        <f t="shared" si="35"/>
        <v>866.94092799999999</v>
      </c>
    </row>
    <row r="583" spans="1:19" ht="15" x14ac:dyDescent="0.25">
      <c r="A583" s="141" t="s">
        <v>148</v>
      </c>
      <c r="B583" s="141" t="s">
        <v>321</v>
      </c>
      <c r="C583" s="141" t="s">
        <v>165</v>
      </c>
      <c r="D583" s="142" t="s">
        <v>241</v>
      </c>
      <c r="E583" s="158" t="s">
        <v>369</v>
      </c>
      <c r="F583" s="142" t="s">
        <v>142</v>
      </c>
      <c r="G583" s="141">
        <v>103001</v>
      </c>
      <c r="H583" s="141" t="s">
        <v>109</v>
      </c>
      <c r="I583" s="141" t="s">
        <v>247</v>
      </c>
      <c r="J583" s="159" t="s">
        <v>248</v>
      </c>
      <c r="K583" s="160">
        <v>0</v>
      </c>
      <c r="L583" s="141"/>
      <c r="M583" s="161">
        <v>31562.94</v>
      </c>
      <c r="N583" s="161">
        <v>0</v>
      </c>
      <c r="O583" s="161">
        <v>49000</v>
      </c>
      <c r="P583" s="161">
        <v>49000</v>
      </c>
      <c r="Q583" s="104">
        <f t="shared" si="34"/>
        <v>-17437.060000000001</v>
      </c>
      <c r="R583" s="104"/>
      <c r="S583" s="66">
        <f t="shared" si="35"/>
        <v>3601.3314540000001</v>
      </c>
    </row>
    <row r="584" spans="1:19" ht="15" x14ac:dyDescent="0.25">
      <c r="A584" s="141" t="s">
        <v>148</v>
      </c>
      <c r="B584" s="141" t="s">
        <v>321</v>
      </c>
      <c r="C584" s="141" t="s">
        <v>165</v>
      </c>
      <c r="D584" s="142" t="s">
        <v>241</v>
      </c>
      <c r="E584" s="158" t="s">
        <v>369</v>
      </c>
      <c r="F584" s="142" t="s">
        <v>142</v>
      </c>
      <c r="G584" s="141">
        <v>103001</v>
      </c>
      <c r="H584" s="141" t="s">
        <v>109</v>
      </c>
      <c r="I584" s="141" t="s">
        <v>247</v>
      </c>
      <c r="J584" s="159" t="s">
        <v>289</v>
      </c>
      <c r="K584" s="160">
        <v>0</v>
      </c>
      <c r="L584" s="141"/>
      <c r="M584" s="161">
        <v>0</v>
      </c>
      <c r="N584" s="161">
        <v>0</v>
      </c>
      <c r="O584" s="161">
        <v>0</v>
      </c>
      <c r="P584" s="161">
        <v>0</v>
      </c>
      <c r="Q584" s="104">
        <f t="shared" ref="Q584:Q647" si="38">M584-P584</f>
        <v>0</v>
      </c>
      <c r="R584" s="104"/>
      <c r="S584" s="66">
        <f t="shared" si="35"/>
        <v>0</v>
      </c>
    </row>
    <row r="585" spans="1:19" ht="15" x14ac:dyDescent="0.25">
      <c r="A585" s="141" t="s">
        <v>148</v>
      </c>
      <c r="B585" s="141" t="s">
        <v>321</v>
      </c>
      <c r="C585" s="141" t="s">
        <v>165</v>
      </c>
      <c r="D585" s="142" t="s">
        <v>241</v>
      </c>
      <c r="E585" s="158" t="s">
        <v>369</v>
      </c>
      <c r="F585" s="142" t="s">
        <v>142</v>
      </c>
      <c r="G585" s="141">
        <v>103001</v>
      </c>
      <c r="H585" s="141" t="s">
        <v>109</v>
      </c>
      <c r="I585" s="141" t="s">
        <v>247</v>
      </c>
      <c r="J585" s="159" t="s">
        <v>286</v>
      </c>
      <c r="K585" s="160">
        <v>0</v>
      </c>
      <c r="L585" s="141"/>
      <c r="M585" s="161">
        <v>11693.22</v>
      </c>
      <c r="N585" s="161">
        <v>0</v>
      </c>
      <c r="O585" s="161">
        <v>0</v>
      </c>
      <c r="P585" s="161">
        <v>0</v>
      </c>
      <c r="Q585" s="104">
        <f t="shared" si="38"/>
        <v>11693.22</v>
      </c>
      <c r="R585" s="104"/>
      <c r="S585" s="66">
        <f t="shared" ref="S585:S648" si="39">M585*$S$7*1.141</f>
        <v>1334.1964019999998</v>
      </c>
    </row>
    <row r="586" spans="1:19" ht="15" x14ac:dyDescent="0.25">
      <c r="A586" s="141" t="s">
        <v>148</v>
      </c>
      <c r="B586" s="141" t="s">
        <v>321</v>
      </c>
      <c r="C586" s="141" t="s">
        <v>165</v>
      </c>
      <c r="D586" s="142" t="s">
        <v>241</v>
      </c>
      <c r="E586" s="158" t="s">
        <v>369</v>
      </c>
      <c r="F586" s="142" t="s">
        <v>142</v>
      </c>
      <c r="G586" s="141">
        <v>103001</v>
      </c>
      <c r="H586" s="141" t="s">
        <v>109</v>
      </c>
      <c r="I586" s="141" t="s">
        <v>247</v>
      </c>
      <c r="J586" s="159" t="s">
        <v>365</v>
      </c>
      <c r="K586" s="160">
        <v>0</v>
      </c>
      <c r="L586" s="141"/>
      <c r="M586" s="161">
        <v>7228.35</v>
      </c>
      <c r="N586" s="161">
        <v>0</v>
      </c>
      <c r="O586" s="161">
        <v>0</v>
      </c>
      <c r="P586" s="161">
        <v>0</v>
      </c>
      <c r="Q586" s="104">
        <f t="shared" si="38"/>
        <v>7228.35</v>
      </c>
      <c r="R586" s="104"/>
      <c r="S586" s="66">
        <f t="shared" si="39"/>
        <v>824.7547350000001</v>
      </c>
    </row>
    <row r="587" spans="1:19" ht="15" x14ac:dyDescent="0.25">
      <c r="A587" s="141" t="s">
        <v>148</v>
      </c>
      <c r="B587" s="141" t="s">
        <v>321</v>
      </c>
      <c r="C587" s="141" t="s">
        <v>165</v>
      </c>
      <c r="D587" s="142" t="s">
        <v>241</v>
      </c>
      <c r="E587" s="158" t="s">
        <v>369</v>
      </c>
      <c r="F587" s="142" t="s">
        <v>142</v>
      </c>
      <c r="G587" s="141">
        <v>103062</v>
      </c>
      <c r="H587" s="141" t="s">
        <v>114</v>
      </c>
      <c r="I587" s="141" t="s">
        <v>247</v>
      </c>
      <c r="J587" s="159" t="s">
        <v>248</v>
      </c>
      <c r="K587" s="160">
        <v>0</v>
      </c>
      <c r="L587" s="141"/>
      <c r="M587" s="161">
        <v>1290.24</v>
      </c>
      <c r="N587" s="161">
        <v>0</v>
      </c>
      <c r="O587" s="161">
        <v>0</v>
      </c>
      <c r="P587" s="161">
        <v>0</v>
      </c>
      <c r="Q587" s="104">
        <f t="shared" si="38"/>
        <v>1290.24</v>
      </c>
      <c r="R587" s="104"/>
      <c r="S587" s="66">
        <f t="shared" si="39"/>
        <v>147.21638400000001</v>
      </c>
    </row>
    <row r="588" spans="1:19" ht="15" x14ac:dyDescent="0.25">
      <c r="A588" s="141" t="s">
        <v>148</v>
      </c>
      <c r="B588" s="141" t="s">
        <v>321</v>
      </c>
      <c r="C588" s="141" t="s">
        <v>165</v>
      </c>
      <c r="D588" s="142" t="s">
        <v>241</v>
      </c>
      <c r="E588" s="158" t="s">
        <v>369</v>
      </c>
      <c r="F588" s="142" t="s">
        <v>142</v>
      </c>
      <c r="G588" s="141">
        <v>103069</v>
      </c>
      <c r="H588" s="141" t="s">
        <v>214</v>
      </c>
      <c r="I588" s="141" t="s">
        <v>247</v>
      </c>
      <c r="J588" s="159" t="s">
        <v>248</v>
      </c>
      <c r="K588" s="160">
        <v>0</v>
      </c>
      <c r="L588" s="141"/>
      <c r="M588" s="161">
        <v>14702.34</v>
      </c>
      <c r="N588" s="161">
        <v>0</v>
      </c>
      <c r="O588" s="161">
        <v>0</v>
      </c>
      <c r="P588" s="161">
        <v>0</v>
      </c>
      <c r="Q588" s="104">
        <f t="shared" si="38"/>
        <v>14702.34</v>
      </c>
      <c r="R588" s="104"/>
      <c r="S588" s="66">
        <f t="shared" si="39"/>
        <v>1677.5369940000003</v>
      </c>
    </row>
    <row r="589" spans="1:19" ht="15" x14ac:dyDescent="0.25">
      <c r="A589" s="141" t="s">
        <v>148</v>
      </c>
      <c r="B589" s="141" t="s">
        <v>321</v>
      </c>
      <c r="C589" s="141" t="s">
        <v>165</v>
      </c>
      <c r="D589" s="142" t="s">
        <v>241</v>
      </c>
      <c r="E589" s="158" t="s">
        <v>369</v>
      </c>
      <c r="F589" s="142" t="s">
        <v>142</v>
      </c>
      <c r="G589" s="141">
        <v>104000</v>
      </c>
      <c r="H589" s="141" t="s">
        <v>110</v>
      </c>
      <c r="I589" s="141" t="s">
        <v>247</v>
      </c>
      <c r="J589" s="159" t="s">
        <v>248</v>
      </c>
      <c r="K589" s="160">
        <v>0</v>
      </c>
      <c r="L589" s="141"/>
      <c r="M589" s="161">
        <v>45824.480000000003</v>
      </c>
      <c r="N589" s="161">
        <v>76000</v>
      </c>
      <c r="O589" s="161">
        <v>0</v>
      </c>
      <c r="P589" s="161">
        <v>76000</v>
      </c>
      <c r="Q589" s="104">
        <f t="shared" si="38"/>
        <v>-30175.519999999997</v>
      </c>
      <c r="R589" s="104"/>
      <c r="S589" s="66">
        <f t="shared" si="39"/>
        <v>5228.5731680000008</v>
      </c>
    </row>
    <row r="590" spans="1:19" ht="15" x14ac:dyDescent="0.25">
      <c r="A590" s="141" t="s">
        <v>148</v>
      </c>
      <c r="B590" s="141" t="s">
        <v>321</v>
      </c>
      <c r="C590" s="141" t="s">
        <v>165</v>
      </c>
      <c r="D590" s="142" t="s">
        <v>241</v>
      </c>
      <c r="E590" s="158" t="s">
        <v>369</v>
      </c>
      <c r="F590" s="142" t="s">
        <v>142</v>
      </c>
      <c r="G590" s="141">
        <v>104000</v>
      </c>
      <c r="H590" s="141" t="s">
        <v>110</v>
      </c>
      <c r="I590" s="141" t="s">
        <v>247</v>
      </c>
      <c r="J590" s="159" t="s">
        <v>363</v>
      </c>
      <c r="K590" s="160">
        <v>0</v>
      </c>
      <c r="L590" s="141"/>
      <c r="M590" s="161">
        <v>175.93</v>
      </c>
      <c r="N590" s="161">
        <v>0</v>
      </c>
      <c r="O590" s="161">
        <v>0</v>
      </c>
      <c r="P590" s="161">
        <v>0</v>
      </c>
      <c r="Q590" s="104">
        <f t="shared" si="38"/>
        <v>175.93</v>
      </c>
      <c r="R590" s="104"/>
      <c r="S590" s="66">
        <f t="shared" si="39"/>
        <v>20.073613000000002</v>
      </c>
    </row>
    <row r="591" spans="1:19" ht="15" x14ac:dyDescent="0.25">
      <c r="A591" s="141" t="s">
        <v>148</v>
      </c>
      <c r="B591" s="141" t="s">
        <v>321</v>
      </c>
      <c r="C591" s="141" t="s">
        <v>165</v>
      </c>
      <c r="D591" s="142" t="s">
        <v>241</v>
      </c>
      <c r="E591" s="158" t="s">
        <v>369</v>
      </c>
      <c r="F591" s="142" t="s">
        <v>142</v>
      </c>
      <c r="G591" s="141">
        <v>104000</v>
      </c>
      <c r="H591" s="141" t="s">
        <v>110</v>
      </c>
      <c r="I591" s="141" t="s">
        <v>247</v>
      </c>
      <c r="J591" s="159" t="s">
        <v>365</v>
      </c>
      <c r="K591" s="160">
        <v>0</v>
      </c>
      <c r="L591" s="141"/>
      <c r="M591" s="161">
        <v>1248.29</v>
      </c>
      <c r="N591" s="161">
        <v>0</v>
      </c>
      <c r="O591" s="161">
        <v>0</v>
      </c>
      <c r="P591" s="161">
        <v>0</v>
      </c>
      <c r="Q591" s="104">
        <f t="shared" si="38"/>
        <v>1248.29</v>
      </c>
      <c r="R591" s="104"/>
      <c r="S591" s="66">
        <f t="shared" si="39"/>
        <v>142.429889</v>
      </c>
    </row>
    <row r="592" spans="1:19" ht="15" x14ac:dyDescent="0.25">
      <c r="A592" s="141" t="s">
        <v>148</v>
      </c>
      <c r="B592" s="141" t="s">
        <v>321</v>
      </c>
      <c r="C592" s="141" t="s">
        <v>165</v>
      </c>
      <c r="D592" s="142" t="s">
        <v>241</v>
      </c>
      <c r="E592" s="158" t="s">
        <v>369</v>
      </c>
      <c r="F592" s="142" t="s">
        <v>142</v>
      </c>
      <c r="G592" s="141">
        <v>105003</v>
      </c>
      <c r="H592" s="141" t="s">
        <v>268</v>
      </c>
      <c r="I592" s="141" t="s">
        <v>247</v>
      </c>
      <c r="J592" s="159" t="s">
        <v>248</v>
      </c>
      <c r="K592" s="160">
        <v>0</v>
      </c>
      <c r="L592" s="141"/>
      <c r="M592" s="163">
        <v>275443.23</v>
      </c>
      <c r="N592" s="161">
        <v>0</v>
      </c>
      <c r="O592" s="161">
        <v>0</v>
      </c>
      <c r="P592" s="161">
        <v>0</v>
      </c>
      <c r="Q592" s="104">
        <f t="shared" si="38"/>
        <v>275443.23</v>
      </c>
      <c r="R592" s="104"/>
      <c r="S592" s="66">
        <f t="shared" si="39"/>
        <v>31428.072543000002</v>
      </c>
    </row>
    <row r="593" spans="1:19" ht="15" x14ac:dyDescent="0.25">
      <c r="A593" s="141" t="s">
        <v>148</v>
      </c>
      <c r="B593" s="141" t="s">
        <v>321</v>
      </c>
      <c r="C593" s="141" t="s">
        <v>165</v>
      </c>
      <c r="D593" s="142" t="s">
        <v>241</v>
      </c>
      <c r="E593" s="158" t="s">
        <v>369</v>
      </c>
      <c r="F593" s="142" t="s">
        <v>142</v>
      </c>
      <c r="G593" s="141">
        <v>105010</v>
      </c>
      <c r="H593" s="141" t="s">
        <v>118</v>
      </c>
      <c r="I593" s="141" t="s">
        <v>247</v>
      </c>
      <c r="J593" s="159" t="s">
        <v>248</v>
      </c>
      <c r="K593" s="160">
        <v>0</v>
      </c>
      <c r="L593" s="141"/>
      <c r="M593" s="161">
        <v>6376.46</v>
      </c>
      <c r="N593" s="161">
        <v>0</v>
      </c>
      <c r="O593" s="161">
        <v>0</v>
      </c>
      <c r="P593" s="161">
        <v>0</v>
      </c>
      <c r="Q593" s="104">
        <f t="shared" si="38"/>
        <v>6376.46</v>
      </c>
      <c r="R593" s="104"/>
      <c r="S593" s="66">
        <f t="shared" si="39"/>
        <v>727.5540860000001</v>
      </c>
    </row>
    <row r="594" spans="1:19" ht="15" x14ac:dyDescent="0.25">
      <c r="A594" s="141" t="s">
        <v>148</v>
      </c>
      <c r="B594" s="141" t="s">
        <v>321</v>
      </c>
      <c r="C594" s="141" t="s">
        <v>165</v>
      </c>
      <c r="D594" s="142" t="s">
        <v>241</v>
      </c>
      <c r="E594" s="158" t="s">
        <v>369</v>
      </c>
      <c r="F594" s="142" t="s">
        <v>142</v>
      </c>
      <c r="G594" s="141">
        <v>105019</v>
      </c>
      <c r="H594" s="141" t="s">
        <v>111</v>
      </c>
      <c r="I594" s="141" t="s">
        <v>247</v>
      </c>
      <c r="J594" s="159" t="s">
        <v>248</v>
      </c>
      <c r="K594" s="160">
        <v>0</v>
      </c>
      <c r="L594" s="141"/>
      <c r="M594" s="161">
        <v>1250.7</v>
      </c>
      <c r="N594" s="161">
        <v>0</v>
      </c>
      <c r="O594" s="161">
        <v>0</v>
      </c>
      <c r="P594" s="161">
        <v>0</v>
      </c>
      <c r="Q594" s="104">
        <f t="shared" si="38"/>
        <v>1250.7</v>
      </c>
      <c r="R594" s="104"/>
      <c r="S594" s="66">
        <f t="shared" si="39"/>
        <v>142.70487</v>
      </c>
    </row>
    <row r="595" spans="1:19" ht="15" x14ac:dyDescent="0.25">
      <c r="A595" s="141" t="s">
        <v>148</v>
      </c>
      <c r="B595" s="141" t="s">
        <v>321</v>
      </c>
      <c r="C595" s="141" t="s">
        <v>165</v>
      </c>
      <c r="D595" s="142" t="s">
        <v>241</v>
      </c>
      <c r="E595" s="158" t="s">
        <v>369</v>
      </c>
      <c r="F595" s="142" t="s">
        <v>142</v>
      </c>
      <c r="G595" s="141">
        <v>105098</v>
      </c>
      <c r="H595" s="141" t="s">
        <v>265</v>
      </c>
      <c r="I595" s="141" t="s">
        <v>247</v>
      </c>
      <c r="J595" s="159" t="s">
        <v>302</v>
      </c>
      <c r="K595" s="160">
        <v>0</v>
      </c>
      <c r="L595" s="141"/>
      <c r="M595" s="161">
        <v>-4392</v>
      </c>
      <c r="N595" s="161">
        <v>0</v>
      </c>
      <c r="O595" s="161">
        <v>0</v>
      </c>
      <c r="P595" s="161">
        <v>0</v>
      </c>
      <c r="Q595" s="104">
        <f t="shared" si="38"/>
        <v>-4392</v>
      </c>
      <c r="R595" s="129"/>
      <c r="S595" s="66">
        <f t="shared" si="39"/>
        <v>-501.12720000000007</v>
      </c>
    </row>
    <row r="596" spans="1:19" ht="15" x14ac:dyDescent="0.25">
      <c r="A596" s="141" t="s">
        <v>148</v>
      </c>
      <c r="B596" s="141" t="s">
        <v>321</v>
      </c>
      <c r="C596" s="141" t="s">
        <v>165</v>
      </c>
      <c r="D596" s="142" t="s">
        <v>241</v>
      </c>
      <c r="E596" s="158" t="s">
        <v>369</v>
      </c>
      <c r="F596" s="142" t="s">
        <v>142</v>
      </c>
      <c r="G596" s="141">
        <v>105099</v>
      </c>
      <c r="H596" s="141" t="s">
        <v>103</v>
      </c>
      <c r="I596" s="141" t="s">
        <v>247</v>
      </c>
      <c r="J596" s="159" t="s">
        <v>303</v>
      </c>
      <c r="K596" s="160">
        <v>0</v>
      </c>
      <c r="L596" s="141"/>
      <c r="M596" s="161">
        <v>4392</v>
      </c>
      <c r="N596" s="161">
        <v>0</v>
      </c>
      <c r="O596" s="161">
        <v>0</v>
      </c>
      <c r="P596" s="161">
        <v>0</v>
      </c>
      <c r="Q596" s="104">
        <f t="shared" si="38"/>
        <v>4392</v>
      </c>
      <c r="R596" s="129"/>
      <c r="S596" s="66">
        <f t="shared" si="39"/>
        <v>501.12720000000007</v>
      </c>
    </row>
    <row r="597" spans="1:19" ht="15" x14ac:dyDescent="0.25">
      <c r="A597" s="141" t="s">
        <v>148</v>
      </c>
      <c r="B597" s="141" t="s">
        <v>321</v>
      </c>
      <c r="C597" s="141" t="s">
        <v>165</v>
      </c>
      <c r="D597" s="142" t="s">
        <v>241</v>
      </c>
      <c r="E597" s="158" t="s">
        <v>369</v>
      </c>
      <c r="F597" s="142" t="s">
        <v>142</v>
      </c>
      <c r="G597" s="144">
        <v>109001</v>
      </c>
      <c r="H597" s="141" t="s">
        <v>101</v>
      </c>
      <c r="I597" s="141" t="s">
        <v>247</v>
      </c>
      <c r="J597" s="159" t="s">
        <v>248</v>
      </c>
      <c r="K597" s="160">
        <v>0</v>
      </c>
      <c r="L597" s="141"/>
      <c r="M597" s="161">
        <v>932078.64</v>
      </c>
      <c r="N597" s="161">
        <v>840000</v>
      </c>
      <c r="O597" s="161">
        <v>24000</v>
      </c>
      <c r="P597" s="161">
        <v>864000</v>
      </c>
      <c r="Q597" s="104">
        <f t="shared" si="38"/>
        <v>68078.640000000014</v>
      </c>
      <c r="R597" s="129">
        <f t="shared" ref="R597:R601" si="40">M597*-1.141</f>
        <v>-1063501.7282400001</v>
      </c>
    </row>
    <row r="598" spans="1:19" ht="15" x14ac:dyDescent="0.25">
      <c r="A598" s="141" t="s">
        <v>148</v>
      </c>
      <c r="B598" s="141" t="s">
        <v>321</v>
      </c>
      <c r="C598" s="141" t="s">
        <v>165</v>
      </c>
      <c r="D598" s="142" t="s">
        <v>241</v>
      </c>
      <c r="E598" s="158" t="s">
        <v>369</v>
      </c>
      <c r="F598" s="142" t="s">
        <v>142</v>
      </c>
      <c r="G598" s="144">
        <v>109001</v>
      </c>
      <c r="H598" s="141" t="s">
        <v>101</v>
      </c>
      <c r="I598" s="141" t="s">
        <v>247</v>
      </c>
      <c r="J598" s="159" t="s">
        <v>288</v>
      </c>
      <c r="K598" s="160">
        <v>0</v>
      </c>
      <c r="L598" s="141"/>
      <c r="M598" s="161">
        <v>1455.28</v>
      </c>
      <c r="N598" s="161">
        <v>0</v>
      </c>
      <c r="O598" s="161">
        <v>1000</v>
      </c>
      <c r="P598" s="161">
        <v>1000</v>
      </c>
      <c r="Q598" s="104">
        <f t="shared" si="38"/>
        <v>455.28</v>
      </c>
      <c r="R598" s="129">
        <f t="shared" si="40"/>
        <v>-1660.4744800000001</v>
      </c>
    </row>
    <row r="599" spans="1:19" ht="15" x14ac:dyDescent="0.25">
      <c r="A599" s="141" t="s">
        <v>148</v>
      </c>
      <c r="B599" s="141" t="s">
        <v>321</v>
      </c>
      <c r="C599" s="141" t="s">
        <v>165</v>
      </c>
      <c r="D599" s="142" t="s">
        <v>241</v>
      </c>
      <c r="E599" s="158" t="s">
        <v>369</v>
      </c>
      <c r="F599" s="142" t="s">
        <v>142</v>
      </c>
      <c r="G599" s="144">
        <v>109001</v>
      </c>
      <c r="H599" s="141" t="s">
        <v>101</v>
      </c>
      <c r="I599" s="141" t="s">
        <v>247</v>
      </c>
      <c r="J599" s="159" t="s">
        <v>286</v>
      </c>
      <c r="K599" s="160">
        <v>0</v>
      </c>
      <c r="L599" s="141"/>
      <c r="M599" s="161">
        <v>1746.12</v>
      </c>
      <c r="N599" s="161">
        <v>0</v>
      </c>
      <c r="O599" s="161">
        <v>0</v>
      </c>
      <c r="P599" s="161">
        <v>0</v>
      </c>
      <c r="Q599" s="104">
        <f t="shared" si="38"/>
        <v>1746.12</v>
      </c>
      <c r="R599" s="129">
        <f t="shared" si="40"/>
        <v>-1992.3229199999998</v>
      </c>
    </row>
    <row r="600" spans="1:19" ht="15" x14ac:dyDescent="0.25">
      <c r="A600" s="141" t="s">
        <v>148</v>
      </c>
      <c r="B600" s="141" t="s">
        <v>321</v>
      </c>
      <c r="C600" s="141" t="s">
        <v>165</v>
      </c>
      <c r="D600" s="142" t="s">
        <v>241</v>
      </c>
      <c r="E600" s="158" t="s">
        <v>369</v>
      </c>
      <c r="F600" s="142" t="s">
        <v>142</v>
      </c>
      <c r="G600" s="144">
        <v>109001</v>
      </c>
      <c r="H600" s="141" t="s">
        <v>101</v>
      </c>
      <c r="I600" s="141" t="s">
        <v>247</v>
      </c>
      <c r="J600" s="159" t="s">
        <v>364</v>
      </c>
      <c r="K600" s="160">
        <v>0</v>
      </c>
      <c r="L600" s="141"/>
      <c r="M600" s="161">
        <v>1879.95</v>
      </c>
      <c r="N600" s="161">
        <v>0</v>
      </c>
      <c r="O600" s="161">
        <v>0</v>
      </c>
      <c r="P600" s="161">
        <v>0</v>
      </c>
      <c r="Q600" s="104">
        <f t="shared" si="38"/>
        <v>1879.95</v>
      </c>
      <c r="R600" s="129">
        <f t="shared" si="40"/>
        <v>-2145.02295</v>
      </c>
    </row>
    <row r="601" spans="1:19" ht="15" x14ac:dyDescent="0.25">
      <c r="A601" s="141" t="s">
        <v>148</v>
      </c>
      <c r="B601" s="141" t="s">
        <v>321</v>
      </c>
      <c r="C601" s="141" t="s">
        <v>165</v>
      </c>
      <c r="D601" s="142" t="s">
        <v>241</v>
      </c>
      <c r="E601" s="158" t="s">
        <v>369</v>
      </c>
      <c r="F601" s="142" t="s">
        <v>142</v>
      </c>
      <c r="G601" s="144">
        <v>109001</v>
      </c>
      <c r="H601" s="141" t="s">
        <v>101</v>
      </c>
      <c r="I601" s="141" t="s">
        <v>247</v>
      </c>
      <c r="J601" s="159" t="s">
        <v>365</v>
      </c>
      <c r="K601" s="160">
        <v>0</v>
      </c>
      <c r="L601" s="141"/>
      <c r="M601" s="161">
        <v>684.94</v>
      </c>
      <c r="N601" s="161">
        <v>0</v>
      </c>
      <c r="O601" s="161">
        <v>0</v>
      </c>
      <c r="P601" s="161">
        <v>0</v>
      </c>
      <c r="Q601" s="104">
        <f t="shared" si="38"/>
        <v>684.94</v>
      </c>
      <c r="R601" s="129">
        <f t="shared" si="40"/>
        <v>-781.51654000000008</v>
      </c>
    </row>
    <row r="602" spans="1:19" ht="15" x14ac:dyDescent="0.25">
      <c r="A602" s="141" t="s">
        <v>148</v>
      </c>
      <c r="B602" s="141" t="s">
        <v>321</v>
      </c>
      <c r="C602" s="141" t="s">
        <v>165</v>
      </c>
      <c r="D602" s="142" t="s">
        <v>241</v>
      </c>
      <c r="E602" s="158" t="s">
        <v>369</v>
      </c>
      <c r="F602" s="142" t="s">
        <v>142</v>
      </c>
      <c r="G602" s="144">
        <v>109901</v>
      </c>
      <c r="H602" s="141" t="s">
        <v>102</v>
      </c>
      <c r="I602" s="141" t="s">
        <v>247</v>
      </c>
      <c r="J602" s="159" t="s">
        <v>248</v>
      </c>
      <c r="K602" s="160">
        <v>0</v>
      </c>
      <c r="L602" s="141"/>
      <c r="M602" s="161">
        <v>1463572.2</v>
      </c>
      <c r="N602" s="161">
        <v>1380000</v>
      </c>
      <c r="O602" s="161">
        <v>37000</v>
      </c>
      <c r="P602" s="161">
        <v>1417000</v>
      </c>
      <c r="Q602" s="104">
        <f t="shared" si="38"/>
        <v>46572.199999999953</v>
      </c>
      <c r="R602"/>
    </row>
    <row r="603" spans="1:19" ht="15" x14ac:dyDescent="0.25">
      <c r="A603" s="141" t="s">
        <v>148</v>
      </c>
      <c r="B603" s="141" t="s">
        <v>321</v>
      </c>
      <c r="C603" s="141" t="s">
        <v>165</v>
      </c>
      <c r="D603" s="142" t="s">
        <v>241</v>
      </c>
      <c r="E603" s="158" t="s">
        <v>369</v>
      </c>
      <c r="F603" s="142" t="s">
        <v>142</v>
      </c>
      <c r="G603" s="144">
        <v>109901</v>
      </c>
      <c r="H603" s="141" t="s">
        <v>102</v>
      </c>
      <c r="I603" s="141" t="s">
        <v>247</v>
      </c>
      <c r="J603" s="159" t="s">
        <v>288</v>
      </c>
      <c r="K603" s="160">
        <v>0</v>
      </c>
      <c r="L603" s="141"/>
      <c r="M603" s="161">
        <v>2367.7199999999998</v>
      </c>
      <c r="N603" s="161">
        <v>0</v>
      </c>
      <c r="O603" s="161">
        <v>2000</v>
      </c>
      <c r="P603" s="161">
        <v>2000</v>
      </c>
      <c r="Q603" s="104">
        <f t="shared" si="38"/>
        <v>367.7199999999998</v>
      </c>
      <c r="R603"/>
    </row>
    <row r="604" spans="1:19" ht="15" x14ac:dyDescent="0.25">
      <c r="A604" s="141" t="s">
        <v>148</v>
      </c>
      <c r="B604" s="141" t="s">
        <v>321</v>
      </c>
      <c r="C604" s="141" t="s">
        <v>165</v>
      </c>
      <c r="D604" s="142" t="s">
        <v>241</v>
      </c>
      <c r="E604" s="158" t="s">
        <v>369</v>
      </c>
      <c r="F604" s="142" t="s">
        <v>142</v>
      </c>
      <c r="G604" s="144">
        <v>109901</v>
      </c>
      <c r="H604" s="141" t="s">
        <v>102</v>
      </c>
      <c r="I604" s="141" t="s">
        <v>247</v>
      </c>
      <c r="J604" s="159" t="s">
        <v>303</v>
      </c>
      <c r="K604" s="160">
        <v>0</v>
      </c>
      <c r="L604" s="141"/>
      <c r="M604" s="161">
        <v>620.59</v>
      </c>
      <c r="N604" s="161">
        <v>0</v>
      </c>
      <c r="O604" s="161">
        <v>0</v>
      </c>
      <c r="P604" s="161">
        <v>0</v>
      </c>
      <c r="Q604" s="104">
        <f t="shared" si="38"/>
        <v>620.59</v>
      </c>
      <c r="R604" s="104"/>
    </row>
    <row r="605" spans="1:19" ht="15" x14ac:dyDescent="0.25">
      <c r="A605" s="141" t="s">
        <v>148</v>
      </c>
      <c r="B605" s="141" t="s">
        <v>321</v>
      </c>
      <c r="C605" s="141" t="s">
        <v>165</v>
      </c>
      <c r="D605" s="142" t="s">
        <v>241</v>
      </c>
      <c r="E605" s="158" t="s">
        <v>369</v>
      </c>
      <c r="F605" s="142" t="s">
        <v>142</v>
      </c>
      <c r="G605" s="144">
        <v>109901</v>
      </c>
      <c r="H605" s="141" t="s">
        <v>102</v>
      </c>
      <c r="I605" s="141" t="s">
        <v>247</v>
      </c>
      <c r="J605" s="159" t="s">
        <v>289</v>
      </c>
      <c r="K605" s="160">
        <v>0</v>
      </c>
      <c r="L605" s="141"/>
      <c r="M605" s="161">
        <v>0</v>
      </c>
      <c r="N605" s="161">
        <v>0</v>
      </c>
      <c r="O605" s="161">
        <v>0</v>
      </c>
      <c r="P605" s="161">
        <v>0</v>
      </c>
      <c r="Q605" s="104">
        <f t="shared" si="38"/>
        <v>0</v>
      </c>
      <c r="R605" s="104"/>
    </row>
    <row r="606" spans="1:19" ht="15" x14ac:dyDescent="0.25">
      <c r="A606" s="141" t="s">
        <v>148</v>
      </c>
      <c r="B606" s="141" t="s">
        <v>321</v>
      </c>
      <c r="C606" s="141" t="s">
        <v>165</v>
      </c>
      <c r="D606" s="142" t="s">
        <v>241</v>
      </c>
      <c r="E606" s="158" t="s">
        <v>369</v>
      </c>
      <c r="F606" s="142" t="s">
        <v>142</v>
      </c>
      <c r="G606" s="144">
        <v>109901</v>
      </c>
      <c r="H606" s="141" t="s">
        <v>102</v>
      </c>
      <c r="I606" s="141" t="s">
        <v>247</v>
      </c>
      <c r="J606" s="159" t="s">
        <v>286</v>
      </c>
      <c r="K606" s="160">
        <v>0</v>
      </c>
      <c r="L606" s="141"/>
      <c r="M606" s="161">
        <v>2843.92</v>
      </c>
      <c r="N606" s="161">
        <v>0</v>
      </c>
      <c r="O606" s="161">
        <v>0</v>
      </c>
      <c r="P606" s="161">
        <v>0</v>
      </c>
      <c r="Q606" s="104">
        <f t="shared" si="38"/>
        <v>2843.92</v>
      </c>
      <c r="R606" s="104"/>
    </row>
    <row r="607" spans="1:19" ht="15" x14ac:dyDescent="0.25">
      <c r="A607" s="141" t="s">
        <v>148</v>
      </c>
      <c r="B607" s="141" t="s">
        <v>321</v>
      </c>
      <c r="C607" s="141" t="s">
        <v>165</v>
      </c>
      <c r="D607" s="142" t="s">
        <v>241</v>
      </c>
      <c r="E607" s="158" t="s">
        <v>369</v>
      </c>
      <c r="F607" s="142" t="s">
        <v>142</v>
      </c>
      <c r="G607" s="144">
        <v>109901</v>
      </c>
      <c r="H607" s="141" t="s">
        <v>102</v>
      </c>
      <c r="I607" s="141" t="s">
        <v>247</v>
      </c>
      <c r="J607" s="159" t="s">
        <v>363</v>
      </c>
      <c r="K607" s="160">
        <v>0</v>
      </c>
      <c r="L607" s="141"/>
      <c r="M607" s="161">
        <v>24.81</v>
      </c>
      <c r="N607" s="161">
        <v>0</v>
      </c>
      <c r="O607" s="161">
        <v>0</v>
      </c>
      <c r="P607" s="161">
        <v>0</v>
      </c>
      <c r="Q607" s="104">
        <f t="shared" si="38"/>
        <v>24.81</v>
      </c>
      <c r="R607" s="104"/>
    </row>
    <row r="608" spans="1:19" ht="15" x14ac:dyDescent="0.25">
      <c r="A608" s="141" t="s">
        <v>148</v>
      </c>
      <c r="B608" s="141" t="s">
        <v>321</v>
      </c>
      <c r="C608" s="141" t="s">
        <v>165</v>
      </c>
      <c r="D608" s="142" t="s">
        <v>241</v>
      </c>
      <c r="E608" s="158" t="s">
        <v>369</v>
      </c>
      <c r="F608" s="142" t="s">
        <v>142</v>
      </c>
      <c r="G608" s="144">
        <v>109901</v>
      </c>
      <c r="H608" s="141" t="s">
        <v>102</v>
      </c>
      <c r="I608" s="141" t="s">
        <v>247</v>
      </c>
      <c r="J608" s="159" t="s">
        <v>364</v>
      </c>
      <c r="K608" s="160">
        <v>0</v>
      </c>
      <c r="L608" s="141"/>
      <c r="M608" s="161">
        <v>3445.05</v>
      </c>
      <c r="N608" s="161">
        <v>0</v>
      </c>
      <c r="O608" s="161">
        <v>0</v>
      </c>
      <c r="P608" s="161">
        <v>0</v>
      </c>
      <c r="Q608" s="104">
        <f t="shared" si="38"/>
        <v>3445.05</v>
      </c>
      <c r="R608" s="104"/>
    </row>
    <row r="609" spans="1:19" ht="15" x14ac:dyDescent="0.25">
      <c r="A609" s="141" t="s">
        <v>148</v>
      </c>
      <c r="B609" s="141" t="s">
        <v>321</v>
      </c>
      <c r="C609" s="141" t="s">
        <v>165</v>
      </c>
      <c r="D609" s="142" t="s">
        <v>241</v>
      </c>
      <c r="E609" s="158" t="s">
        <v>369</v>
      </c>
      <c r="F609" s="142" t="s">
        <v>142</v>
      </c>
      <c r="G609" s="144">
        <v>109901</v>
      </c>
      <c r="H609" s="141" t="s">
        <v>102</v>
      </c>
      <c r="I609" s="141" t="s">
        <v>247</v>
      </c>
      <c r="J609" s="159" t="s">
        <v>365</v>
      </c>
      <c r="K609" s="160">
        <v>0</v>
      </c>
      <c r="L609" s="141"/>
      <c r="M609" s="161">
        <v>1291.79</v>
      </c>
      <c r="N609" s="161">
        <v>0</v>
      </c>
      <c r="O609" s="161">
        <v>0</v>
      </c>
      <c r="P609" s="161">
        <v>0</v>
      </c>
      <c r="Q609" s="104">
        <f t="shared" si="38"/>
        <v>1291.79</v>
      </c>
      <c r="R609" s="104"/>
    </row>
    <row r="610" spans="1:19" ht="15" x14ac:dyDescent="0.25">
      <c r="A610" s="141" t="s">
        <v>148</v>
      </c>
      <c r="B610" s="141" t="s">
        <v>322</v>
      </c>
      <c r="C610" s="141" t="s">
        <v>67</v>
      </c>
      <c r="D610" s="142" t="s">
        <v>241</v>
      </c>
      <c r="E610" s="158" t="s">
        <v>371</v>
      </c>
      <c r="F610" s="142" t="s">
        <v>142</v>
      </c>
      <c r="G610" s="141">
        <v>101001</v>
      </c>
      <c r="H610" s="141" t="s">
        <v>104</v>
      </c>
      <c r="I610" s="141" t="s">
        <v>247</v>
      </c>
      <c r="J610" s="159" t="s">
        <v>248</v>
      </c>
      <c r="K610" s="160">
        <v>0</v>
      </c>
      <c r="L610" s="141"/>
      <c r="M610" s="161">
        <v>7722823.4400000004</v>
      </c>
      <c r="N610" s="161">
        <v>9468000</v>
      </c>
      <c r="O610" s="161">
        <v>-1351000</v>
      </c>
      <c r="P610" s="161">
        <v>8117000</v>
      </c>
      <c r="Q610" s="104">
        <f t="shared" si="38"/>
        <v>-394176.55999999959</v>
      </c>
      <c r="R610" s="104"/>
      <c r="S610" s="66">
        <f t="shared" si="39"/>
        <v>881174.15450400009</v>
      </c>
    </row>
    <row r="611" spans="1:19" ht="15" x14ac:dyDescent="0.25">
      <c r="A611" s="141" t="s">
        <v>148</v>
      </c>
      <c r="B611" s="141" t="s">
        <v>322</v>
      </c>
      <c r="C611" s="141" t="s">
        <v>67</v>
      </c>
      <c r="D611" s="142" t="s">
        <v>241</v>
      </c>
      <c r="E611" s="158" t="s">
        <v>371</v>
      </c>
      <c r="F611" s="142" t="s">
        <v>142</v>
      </c>
      <c r="G611" s="141">
        <v>101002</v>
      </c>
      <c r="H611" s="141" t="s">
        <v>105</v>
      </c>
      <c r="I611" s="141" t="s">
        <v>247</v>
      </c>
      <c r="J611" s="159" t="s">
        <v>248</v>
      </c>
      <c r="K611" s="160">
        <v>0</v>
      </c>
      <c r="L611" s="141"/>
      <c r="M611" s="161">
        <v>30838.32</v>
      </c>
      <c r="N611" s="161">
        <v>0</v>
      </c>
      <c r="O611" s="161">
        <v>0</v>
      </c>
      <c r="P611" s="161">
        <v>0</v>
      </c>
      <c r="Q611" s="104">
        <f t="shared" si="38"/>
        <v>30838.32</v>
      </c>
      <c r="R611" s="104"/>
      <c r="S611" s="66">
        <f t="shared" si="39"/>
        <v>3518.6523120000006</v>
      </c>
    </row>
    <row r="612" spans="1:19" ht="15" x14ac:dyDescent="0.25">
      <c r="A612" s="141" t="s">
        <v>148</v>
      </c>
      <c r="B612" s="141" t="s">
        <v>322</v>
      </c>
      <c r="C612" s="141" t="s">
        <v>67</v>
      </c>
      <c r="D612" s="142" t="s">
        <v>241</v>
      </c>
      <c r="E612" s="158" t="s">
        <v>371</v>
      </c>
      <c r="F612" s="142" t="s">
        <v>142</v>
      </c>
      <c r="G612" s="141">
        <v>101002</v>
      </c>
      <c r="H612" s="141" t="s">
        <v>105</v>
      </c>
      <c r="I612" s="141" t="s">
        <v>247</v>
      </c>
      <c r="J612" s="159" t="s">
        <v>297</v>
      </c>
      <c r="K612" s="160">
        <v>0</v>
      </c>
      <c r="L612" s="141"/>
      <c r="M612" s="161">
        <v>1675.72</v>
      </c>
      <c r="N612" s="161">
        <v>0</v>
      </c>
      <c r="O612" s="161">
        <v>0</v>
      </c>
      <c r="P612" s="161">
        <v>0</v>
      </c>
      <c r="Q612" s="104">
        <f t="shared" si="38"/>
        <v>1675.72</v>
      </c>
      <c r="R612" s="104"/>
      <c r="S612" s="66">
        <f t="shared" si="39"/>
        <v>191.19965200000001</v>
      </c>
    </row>
    <row r="613" spans="1:19" ht="15" x14ac:dyDescent="0.25">
      <c r="A613" s="141" t="s">
        <v>148</v>
      </c>
      <c r="B613" s="141" t="s">
        <v>322</v>
      </c>
      <c r="C613" s="141" t="s">
        <v>67</v>
      </c>
      <c r="D613" s="142" t="s">
        <v>241</v>
      </c>
      <c r="E613" s="158" t="s">
        <v>371</v>
      </c>
      <c r="F613" s="142" t="s">
        <v>142</v>
      </c>
      <c r="G613" s="141">
        <v>101002</v>
      </c>
      <c r="H613" s="141" t="s">
        <v>105</v>
      </c>
      <c r="I613" s="141" t="s">
        <v>247</v>
      </c>
      <c r="J613" s="159" t="s">
        <v>313</v>
      </c>
      <c r="K613" s="160">
        <v>0</v>
      </c>
      <c r="L613" s="141"/>
      <c r="M613" s="161">
        <v>1788.95</v>
      </c>
      <c r="N613" s="161">
        <v>0</v>
      </c>
      <c r="O613" s="161">
        <v>0</v>
      </c>
      <c r="P613" s="161">
        <v>0</v>
      </c>
      <c r="Q613" s="104">
        <f t="shared" si="38"/>
        <v>1788.95</v>
      </c>
      <c r="R613" s="104"/>
      <c r="S613" s="66">
        <f t="shared" si="39"/>
        <v>204.11919500000002</v>
      </c>
    </row>
    <row r="614" spans="1:19" ht="15" x14ac:dyDescent="0.25">
      <c r="A614" s="141" t="s">
        <v>148</v>
      </c>
      <c r="B614" s="141" t="s">
        <v>322</v>
      </c>
      <c r="C614" s="141" t="s">
        <v>67</v>
      </c>
      <c r="D614" s="142" t="s">
        <v>241</v>
      </c>
      <c r="E614" s="158" t="s">
        <v>371</v>
      </c>
      <c r="F614" s="142" t="s">
        <v>142</v>
      </c>
      <c r="G614" s="141">
        <v>101039</v>
      </c>
      <c r="H614" s="141" t="s">
        <v>107</v>
      </c>
      <c r="I614" s="141" t="s">
        <v>247</v>
      </c>
      <c r="J614" s="159" t="s">
        <v>248</v>
      </c>
      <c r="K614" s="160">
        <v>0</v>
      </c>
      <c r="L614" s="141"/>
      <c r="M614" s="161">
        <v>205917.02</v>
      </c>
      <c r="N614" s="161">
        <v>0</v>
      </c>
      <c r="O614" s="161">
        <v>0</v>
      </c>
      <c r="P614" s="161">
        <v>0</v>
      </c>
      <c r="Q614" s="104">
        <f t="shared" si="38"/>
        <v>205917.02</v>
      </c>
      <c r="R614" s="104"/>
      <c r="S614" s="66">
        <f t="shared" si="39"/>
        <v>23495.131982000003</v>
      </c>
    </row>
    <row r="615" spans="1:19" ht="15" x14ac:dyDescent="0.25">
      <c r="A615" s="141" t="s">
        <v>148</v>
      </c>
      <c r="B615" s="141" t="s">
        <v>322</v>
      </c>
      <c r="C615" s="141" t="s">
        <v>67</v>
      </c>
      <c r="D615" s="142" t="s">
        <v>241</v>
      </c>
      <c r="E615" s="158" t="s">
        <v>371</v>
      </c>
      <c r="F615" s="142" t="s">
        <v>142</v>
      </c>
      <c r="G615" s="141">
        <v>102002</v>
      </c>
      <c r="H615" s="141" t="s">
        <v>108</v>
      </c>
      <c r="I615" s="141" t="s">
        <v>247</v>
      </c>
      <c r="J615" s="159" t="s">
        <v>248</v>
      </c>
      <c r="K615" s="160">
        <v>0</v>
      </c>
      <c r="L615" s="141"/>
      <c r="M615" s="161">
        <v>48858.25</v>
      </c>
      <c r="N615" s="161">
        <v>0</v>
      </c>
      <c r="O615" s="161">
        <v>0</v>
      </c>
      <c r="P615" s="161">
        <v>0</v>
      </c>
      <c r="Q615" s="104">
        <f t="shared" si="38"/>
        <v>48858.25</v>
      </c>
      <c r="R615" s="104"/>
      <c r="S615" s="66">
        <f t="shared" si="39"/>
        <v>5574.7263249999996</v>
      </c>
    </row>
    <row r="616" spans="1:19" ht="15" x14ac:dyDescent="0.25">
      <c r="A616" s="141" t="s">
        <v>148</v>
      </c>
      <c r="B616" s="141" t="s">
        <v>322</v>
      </c>
      <c r="C616" s="141" t="s">
        <v>67</v>
      </c>
      <c r="D616" s="142" t="s">
        <v>241</v>
      </c>
      <c r="E616" s="158" t="s">
        <v>371</v>
      </c>
      <c r="F616" s="142" t="s">
        <v>142</v>
      </c>
      <c r="G616" s="141">
        <v>102002</v>
      </c>
      <c r="H616" s="141" t="s">
        <v>108</v>
      </c>
      <c r="I616" s="141" t="s">
        <v>247</v>
      </c>
      <c r="J616" s="159" t="s">
        <v>297</v>
      </c>
      <c r="K616" s="160">
        <v>0</v>
      </c>
      <c r="L616" s="141"/>
      <c r="M616" s="161">
        <v>6745.26</v>
      </c>
      <c r="N616" s="161">
        <v>0</v>
      </c>
      <c r="O616" s="161">
        <v>0</v>
      </c>
      <c r="P616" s="161">
        <v>0</v>
      </c>
      <c r="Q616" s="104">
        <f t="shared" si="38"/>
        <v>6745.26</v>
      </c>
      <c r="R616" s="104"/>
      <c r="S616" s="66">
        <f t="shared" si="39"/>
        <v>769.63416600000005</v>
      </c>
    </row>
    <row r="617" spans="1:19" ht="15" x14ac:dyDescent="0.25">
      <c r="A617" s="141" t="s">
        <v>148</v>
      </c>
      <c r="B617" s="141" t="s">
        <v>322</v>
      </c>
      <c r="C617" s="141" t="s">
        <v>67</v>
      </c>
      <c r="D617" s="142" t="s">
        <v>241</v>
      </c>
      <c r="E617" s="158" t="s">
        <v>371</v>
      </c>
      <c r="F617" s="142" t="s">
        <v>142</v>
      </c>
      <c r="G617" s="141">
        <v>102003</v>
      </c>
      <c r="H617" s="141" t="s">
        <v>106</v>
      </c>
      <c r="I617" s="141" t="s">
        <v>247</v>
      </c>
      <c r="J617" s="159" t="s">
        <v>248</v>
      </c>
      <c r="K617" s="160">
        <v>0</v>
      </c>
      <c r="L617" s="141"/>
      <c r="M617" s="161">
        <v>1105512.49</v>
      </c>
      <c r="N617" s="161">
        <v>224000</v>
      </c>
      <c r="O617" s="161">
        <v>40000</v>
      </c>
      <c r="P617" s="161">
        <v>264000</v>
      </c>
      <c r="Q617" s="104">
        <f t="shared" si="38"/>
        <v>841512.49</v>
      </c>
      <c r="R617" s="104"/>
      <c r="S617" s="66">
        <f t="shared" si="39"/>
        <v>126138.97510900002</v>
      </c>
    </row>
    <row r="618" spans="1:19" ht="15" x14ac:dyDescent="0.25">
      <c r="A618" s="141" t="s">
        <v>148</v>
      </c>
      <c r="B618" s="141" t="s">
        <v>322</v>
      </c>
      <c r="C618" s="141" t="s">
        <v>67</v>
      </c>
      <c r="D618" s="142" t="s">
        <v>241</v>
      </c>
      <c r="E618" s="158" t="s">
        <v>371</v>
      </c>
      <c r="F618" s="142" t="s">
        <v>142</v>
      </c>
      <c r="G618" s="141">
        <v>102003</v>
      </c>
      <c r="H618" s="141" t="s">
        <v>106</v>
      </c>
      <c r="I618" s="141" t="s">
        <v>247</v>
      </c>
      <c r="J618" s="159" t="s">
        <v>288</v>
      </c>
      <c r="K618" s="160">
        <v>0</v>
      </c>
      <c r="L618" s="141"/>
      <c r="M618" s="161">
        <v>9858.24</v>
      </c>
      <c r="N618" s="161">
        <v>0</v>
      </c>
      <c r="O618" s="161">
        <v>0</v>
      </c>
      <c r="P618" s="161">
        <v>0</v>
      </c>
      <c r="Q618" s="104">
        <f t="shared" si="38"/>
        <v>9858.24</v>
      </c>
      <c r="R618" s="104"/>
      <c r="S618" s="66">
        <f t="shared" si="39"/>
        <v>1124.825184</v>
      </c>
    </row>
    <row r="619" spans="1:19" ht="15" x14ac:dyDescent="0.25">
      <c r="A619" s="141" t="s">
        <v>148</v>
      </c>
      <c r="B619" s="141" t="s">
        <v>322</v>
      </c>
      <c r="C619" s="141" t="s">
        <v>67</v>
      </c>
      <c r="D619" s="142" t="s">
        <v>241</v>
      </c>
      <c r="E619" s="158" t="s">
        <v>371</v>
      </c>
      <c r="F619" s="142" t="s">
        <v>142</v>
      </c>
      <c r="G619" s="141">
        <v>102005</v>
      </c>
      <c r="H619" s="141" t="s">
        <v>112</v>
      </c>
      <c r="I619" s="141" t="s">
        <v>247</v>
      </c>
      <c r="J619" s="159" t="s">
        <v>248</v>
      </c>
      <c r="K619" s="160">
        <v>0</v>
      </c>
      <c r="L619" s="141"/>
      <c r="M619" s="161">
        <v>63005.48</v>
      </c>
      <c r="N619" s="161">
        <v>0</v>
      </c>
      <c r="O619" s="161">
        <v>0</v>
      </c>
      <c r="P619" s="161">
        <v>0</v>
      </c>
      <c r="Q619" s="104">
        <f t="shared" si="38"/>
        <v>63005.48</v>
      </c>
      <c r="R619" s="129"/>
      <c r="S619" s="66">
        <f t="shared" si="39"/>
        <v>7188.9252680000009</v>
      </c>
    </row>
    <row r="620" spans="1:19" ht="15" x14ac:dyDescent="0.25">
      <c r="A620" s="141" t="s">
        <v>148</v>
      </c>
      <c r="B620" s="141" t="s">
        <v>322</v>
      </c>
      <c r="C620" s="141" t="s">
        <v>67</v>
      </c>
      <c r="D620" s="142" t="s">
        <v>241</v>
      </c>
      <c r="E620" s="158" t="s">
        <v>371</v>
      </c>
      <c r="F620" s="142" t="s">
        <v>142</v>
      </c>
      <c r="G620" s="141">
        <v>102062</v>
      </c>
      <c r="H620" s="141" t="s">
        <v>113</v>
      </c>
      <c r="I620" s="141" t="s">
        <v>247</v>
      </c>
      <c r="J620" s="159" t="s">
        <v>248</v>
      </c>
      <c r="K620" s="160">
        <v>0</v>
      </c>
      <c r="L620" s="141"/>
      <c r="M620" s="161">
        <v>5206.38</v>
      </c>
      <c r="N620" s="161">
        <v>0</v>
      </c>
      <c r="O620" s="161">
        <v>0</v>
      </c>
      <c r="P620" s="161">
        <v>0</v>
      </c>
      <c r="Q620" s="104">
        <f t="shared" si="38"/>
        <v>5206.38</v>
      </c>
      <c r="R620" s="129"/>
      <c r="S620" s="66">
        <f t="shared" si="39"/>
        <v>594.04795799999999</v>
      </c>
    </row>
    <row r="621" spans="1:19" ht="15" x14ac:dyDescent="0.25">
      <c r="A621" s="141" t="s">
        <v>148</v>
      </c>
      <c r="B621" s="141" t="s">
        <v>322</v>
      </c>
      <c r="C621" s="141" t="s">
        <v>67</v>
      </c>
      <c r="D621" s="142" t="s">
        <v>241</v>
      </c>
      <c r="E621" s="158" t="s">
        <v>371</v>
      </c>
      <c r="F621" s="142" t="s">
        <v>142</v>
      </c>
      <c r="G621" s="141">
        <v>103001</v>
      </c>
      <c r="H621" s="141" t="s">
        <v>109</v>
      </c>
      <c r="I621" s="141" t="s">
        <v>247</v>
      </c>
      <c r="J621" s="159" t="s">
        <v>248</v>
      </c>
      <c r="K621" s="160">
        <v>0</v>
      </c>
      <c r="L621" s="141"/>
      <c r="M621" s="161">
        <v>2266.75</v>
      </c>
      <c r="N621" s="161">
        <v>0</v>
      </c>
      <c r="O621" s="161">
        <v>0</v>
      </c>
      <c r="P621" s="161">
        <v>0</v>
      </c>
      <c r="Q621" s="104">
        <f t="shared" si="38"/>
        <v>2266.75</v>
      </c>
      <c r="R621" s="104"/>
      <c r="S621" s="66">
        <f t="shared" si="39"/>
        <v>258.63617500000004</v>
      </c>
    </row>
    <row r="622" spans="1:19" ht="15" x14ac:dyDescent="0.25">
      <c r="A622" s="141" t="s">
        <v>148</v>
      </c>
      <c r="B622" s="141" t="s">
        <v>322</v>
      </c>
      <c r="C622" s="141" t="s">
        <v>67</v>
      </c>
      <c r="D622" s="142" t="s">
        <v>241</v>
      </c>
      <c r="E622" s="158" t="s">
        <v>371</v>
      </c>
      <c r="F622" s="142" t="s">
        <v>142</v>
      </c>
      <c r="G622" s="141">
        <v>103062</v>
      </c>
      <c r="H622" s="141" t="s">
        <v>114</v>
      </c>
      <c r="I622" s="141" t="s">
        <v>247</v>
      </c>
      <c r="J622" s="159" t="s">
        <v>248</v>
      </c>
      <c r="K622" s="160">
        <v>0</v>
      </c>
      <c r="L622" s="141"/>
      <c r="M622" s="161">
        <v>842.24</v>
      </c>
      <c r="N622" s="161">
        <v>0</v>
      </c>
      <c r="O622" s="161">
        <v>0</v>
      </c>
      <c r="P622" s="161">
        <v>0</v>
      </c>
      <c r="Q622" s="104">
        <f t="shared" si="38"/>
        <v>842.24</v>
      </c>
      <c r="R622" s="104"/>
      <c r="S622" s="66">
        <f t="shared" si="39"/>
        <v>96.099584000000007</v>
      </c>
    </row>
    <row r="623" spans="1:19" ht="15" x14ac:dyDescent="0.25">
      <c r="A623" s="141" t="s">
        <v>148</v>
      </c>
      <c r="B623" s="141" t="s">
        <v>322</v>
      </c>
      <c r="C623" s="141" t="s">
        <v>67</v>
      </c>
      <c r="D623" s="142" t="s">
        <v>241</v>
      </c>
      <c r="E623" s="158" t="s">
        <v>371</v>
      </c>
      <c r="F623" s="142" t="s">
        <v>142</v>
      </c>
      <c r="G623" s="141">
        <v>103069</v>
      </c>
      <c r="H623" s="141" t="s">
        <v>214</v>
      </c>
      <c r="I623" s="141" t="s">
        <v>247</v>
      </c>
      <c r="J623" s="159" t="s">
        <v>248</v>
      </c>
      <c r="K623" s="160">
        <v>0</v>
      </c>
      <c r="L623" s="141"/>
      <c r="M623" s="161">
        <v>13005.01</v>
      </c>
      <c r="N623" s="161">
        <v>0</v>
      </c>
      <c r="O623" s="161">
        <v>0</v>
      </c>
      <c r="P623" s="161">
        <v>0</v>
      </c>
      <c r="Q623" s="104">
        <f t="shared" si="38"/>
        <v>13005.01</v>
      </c>
      <c r="R623" s="104"/>
      <c r="S623" s="66">
        <f t="shared" si="39"/>
        <v>1483.8716410000002</v>
      </c>
    </row>
    <row r="624" spans="1:19" ht="15" x14ac:dyDescent="0.25">
      <c r="A624" s="141" t="s">
        <v>148</v>
      </c>
      <c r="B624" s="141" t="s">
        <v>322</v>
      </c>
      <c r="C624" s="141" t="s">
        <v>67</v>
      </c>
      <c r="D624" s="142" t="s">
        <v>241</v>
      </c>
      <c r="E624" s="158" t="s">
        <v>371</v>
      </c>
      <c r="F624" s="142" t="s">
        <v>142</v>
      </c>
      <c r="G624" s="141">
        <v>104000</v>
      </c>
      <c r="H624" s="141" t="s">
        <v>110</v>
      </c>
      <c r="I624" s="141" t="s">
        <v>247</v>
      </c>
      <c r="J624" s="159" t="s">
        <v>248</v>
      </c>
      <c r="K624" s="160">
        <v>0</v>
      </c>
      <c r="L624" s="141"/>
      <c r="M624" s="161">
        <v>47920.88</v>
      </c>
      <c r="N624" s="161">
        <v>80000</v>
      </c>
      <c r="O624" s="161">
        <v>-12000</v>
      </c>
      <c r="P624" s="161">
        <v>68000</v>
      </c>
      <c r="Q624" s="104">
        <f t="shared" si="38"/>
        <v>-20079.120000000003</v>
      </c>
      <c r="R624" s="104"/>
      <c r="S624" s="66">
        <f t="shared" si="39"/>
        <v>5467.7724079999998</v>
      </c>
    </row>
    <row r="625" spans="1:19" ht="15" x14ac:dyDescent="0.25">
      <c r="A625" s="141" t="s">
        <v>148</v>
      </c>
      <c r="B625" s="141" t="s">
        <v>322</v>
      </c>
      <c r="C625" s="141" t="s">
        <v>67</v>
      </c>
      <c r="D625" s="142" t="s">
        <v>241</v>
      </c>
      <c r="E625" s="158" t="s">
        <v>371</v>
      </c>
      <c r="F625" s="142" t="s">
        <v>142</v>
      </c>
      <c r="G625" s="141">
        <v>105003</v>
      </c>
      <c r="H625" s="141" t="s">
        <v>268</v>
      </c>
      <c r="I625" s="141" t="s">
        <v>247</v>
      </c>
      <c r="J625" s="159" t="s">
        <v>248</v>
      </c>
      <c r="K625" s="160">
        <v>0</v>
      </c>
      <c r="L625" s="141"/>
      <c r="M625" s="163">
        <v>216786.04</v>
      </c>
      <c r="N625" s="161">
        <v>0</v>
      </c>
      <c r="O625" s="161">
        <v>0</v>
      </c>
      <c r="P625" s="161">
        <v>0</v>
      </c>
      <c r="Q625" s="104">
        <f t="shared" si="38"/>
        <v>216786.04</v>
      </c>
      <c r="R625" s="104"/>
      <c r="S625" s="66">
        <f t="shared" si="39"/>
        <v>24735.287164000005</v>
      </c>
    </row>
    <row r="626" spans="1:19" ht="15" x14ac:dyDescent="0.25">
      <c r="A626" s="141" t="s">
        <v>148</v>
      </c>
      <c r="B626" s="141" t="s">
        <v>322</v>
      </c>
      <c r="C626" s="141" t="s">
        <v>67</v>
      </c>
      <c r="D626" s="142" t="s">
        <v>241</v>
      </c>
      <c r="E626" s="158" t="s">
        <v>371</v>
      </c>
      <c r="F626" s="142" t="s">
        <v>142</v>
      </c>
      <c r="G626" s="141">
        <v>105005</v>
      </c>
      <c r="H626" s="141" t="s">
        <v>372</v>
      </c>
      <c r="I626" s="141" t="s">
        <v>247</v>
      </c>
      <c r="J626" s="159" t="s">
        <v>248</v>
      </c>
      <c r="K626" s="160">
        <v>0</v>
      </c>
      <c r="L626" s="141"/>
      <c r="M626" s="161">
        <v>2225.88</v>
      </c>
      <c r="N626" s="161">
        <v>0</v>
      </c>
      <c r="O626" s="161">
        <v>0</v>
      </c>
      <c r="P626" s="161">
        <v>0</v>
      </c>
      <c r="Q626" s="104">
        <f t="shared" si="38"/>
        <v>2225.88</v>
      </c>
      <c r="R626" s="104"/>
      <c r="S626" s="66">
        <f t="shared" si="39"/>
        <v>253.97290800000002</v>
      </c>
    </row>
    <row r="627" spans="1:19" ht="15" x14ac:dyDescent="0.25">
      <c r="A627" s="141" t="s">
        <v>148</v>
      </c>
      <c r="B627" s="141" t="s">
        <v>322</v>
      </c>
      <c r="C627" s="141" t="s">
        <v>67</v>
      </c>
      <c r="D627" s="142" t="s">
        <v>241</v>
      </c>
      <c r="E627" s="158" t="s">
        <v>371</v>
      </c>
      <c r="F627" s="142" t="s">
        <v>142</v>
      </c>
      <c r="G627" s="141">
        <v>105009</v>
      </c>
      <c r="H627" s="141" t="s">
        <v>255</v>
      </c>
      <c r="I627" s="141" t="s">
        <v>247</v>
      </c>
      <c r="J627" s="159" t="s">
        <v>297</v>
      </c>
      <c r="K627" s="160">
        <v>0</v>
      </c>
      <c r="L627" s="141"/>
      <c r="M627" s="161">
        <v>21911</v>
      </c>
      <c r="N627" s="161">
        <v>0</v>
      </c>
      <c r="O627" s="161">
        <v>0</v>
      </c>
      <c r="P627" s="161">
        <v>0</v>
      </c>
      <c r="Q627" s="104">
        <f t="shared" si="38"/>
        <v>21911</v>
      </c>
      <c r="R627" s="104"/>
      <c r="S627" s="66">
        <f t="shared" si="39"/>
        <v>2500.0450999999998</v>
      </c>
    </row>
    <row r="628" spans="1:19" ht="15" x14ac:dyDescent="0.25">
      <c r="A628" s="141" t="s">
        <v>148</v>
      </c>
      <c r="B628" s="141" t="s">
        <v>322</v>
      </c>
      <c r="C628" s="141" t="s">
        <v>67</v>
      </c>
      <c r="D628" s="142" t="s">
        <v>241</v>
      </c>
      <c r="E628" s="158" t="s">
        <v>371</v>
      </c>
      <c r="F628" s="142" t="s">
        <v>142</v>
      </c>
      <c r="G628" s="141">
        <v>105010</v>
      </c>
      <c r="H628" s="141" t="s">
        <v>118</v>
      </c>
      <c r="I628" s="141" t="s">
        <v>247</v>
      </c>
      <c r="J628" s="159" t="s">
        <v>248</v>
      </c>
      <c r="K628" s="160">
        <v>0</v>
      </c>
      <c r="L628" s="141"/>
      <c r="M628" s="161">
        <v>262.93</v>
      </c>
      <c r="N628" s="161">
        <v>0</v>
      </c>
      <c r="O628" s="161">
        <v>0</v>
      </c>
      <c r="P628" s="161">
        <v>0</v>
      </c>
      <c r="Q628" s="104">
        <f t="shared" si="38"/>
        <v>262.93</v>
      </c>
      <c r="R628" s="104"/>
      <c r="S628" s="66">
        <f t="shared" si="39"/>
        <v>30.000313000000002</v>
      </c>
    </row>
    <row r="629" spans="1:19" ht="15" x14ac:dyDescent="0.25">
      <c r="A629" s="141" t="s">
        <v>148</v>
      </c>
      <c r="B629" s="141" t="s">
        <v>322</v>
      </c>
      <c r="C629" s="141" t="s">
        <v>67</v>
      </c>
      <c r="D629" s="142" t="s">
        <v>241</v>
      </c>
      <c r="E629" s="158" t="s">
        <v>371</v>
      </c>
      <c r="F629" s="142" t="s">
        <v>142</v>
      </c>
      <c r="G629" s="141">
        <v>105019</v>
      </c>
      <c r="H629" s="141" t="s">
        <v>111</v>
      </c>
      <c r="I629" s="141" t="s">
        <v>247</v>
      </c>
      <c r="J629" s="159" t="s">
        <v>248</v>
      </c>
      <c r="K629" s="160">
        <v>0</v>
      </c>
      <c r="L629" s="141"/>
      <c r="M629" s="161">
        <v>548.84</v>
      </c>
      <c r="N629" s="161">
        <v>0</v>
      </c>
      <c r="O629" s="161">
        <v>0</v>
      </c>
      <c r="P629" s="161">
        <v>0</v>
      </c>
      <c r="Q629" s="104">
        <f t="shared" si="38"/>
        <v>548.84</v>
      </c>
      <c r="R629" s="104"/>
      <c r="S629" s="66">
        <f t="shared" si="39"/>
        <v>62.622644000000008</v>
      </c>
    </row>
    <row r="630" spans="1:19" ht="15" x14ac:dyDescent="0.25">
      <c r="A630" s="141" t="s">
        <v>148</v>
      </c>
      <c r="B630" s="141" t="s">
        <v>322</v>
      </c>
      <c r="C630" s="141" t="s">
        <v>67</v>
      </c>
      <c r="D630" s="142" t="s">
        <v>241</v>
      </c>
      <c r="E630" s="158" t="s">
        <v>371</v>
      </c>
      <c r="F630" s="142" t="s">
        <v>142</v>
      </c>
      <c r="G630" s="141">
        <v>105098</v>
      </c>
      <c r="H630" s="141" t="s">
        <v>265</v>
      </c>
      <c r="I630" s="141" t="s">
        <v>247</v>
      </c>
      <c r="J630" s="159" t="s">
        <v>302</v>
      </c>
      <c r="K630" s="160">
        <v>0</v>
      </c>
      <c r="L630" s="141"/>
      <c r="M630" s="161">
        <v>-4392</v>
      </c>
      <c r="N630" s="161">
        <v>0</v>
      </c>
      <c r="O630" s="161">
        <v>0</v>
      </c>
      <c r="P630" s="161">
        <v>0</v>
      </c>
      <c r="Q630" s="104">
        <f t="shared" si="38"/>
        <v>-4392</v>
      </c>
      <c r="R630" s="104"/>
      <c r="S630" s="66">
        <f t="shared" si="39"/>
        <v>-501.12720000000007</v>
      </c>
    </row>
    <row r="631" spans="1:19" ht="15" x14ac:dyDescent="0.25">
      <c r="A631" s="141" t="s">
        <v>148</v>
      </c>
      <c r="B631" s="141" t="s">
        <v>322</v>
      </c>
      <c r="C631" s="141" t="s">
        <v>67</v>
      </c>
      <c r="D631" s="142" t="s">
        <v>241</v>
      </c>
      <c r="E631" s="158" t="s">
        <v>371</v>
      </c>
      <c r="F631" s="142" t="s">
        <v>142</v>
      </c>
      <c r="G631" s="141">
        <v>105099</v>
      </c>
      <c r="H631" s="141" t="s">
        <v>103</v>
      </c>
      <c r="I631" s="141" t="s">
        <v>247</v>
      </c>
      <c r="J631" s="159" t="s">
        <v>303</v>
      </c>
      <c r="K631" s="160">
        <v>0</v>
      </c>
      <c r="L631" s="141"/>
      <c r="M631" s="161">
        <v>4392</v>
      </c>
      <c r="N631" s="161">
        <v>0</v>
      </c>
      <c r="O631" s="161">
        <v>0</v>
      </c>
      <c r="P631" s="161">
        <v>0</v>
      </c>
      <c r="Q631" s="104">
        <f t="shared" si="38"/>
        <v>4392</v>
      </c>
      <c r="R631" s="104"/>
      <c r="S631" s="66">
        <f t="shared" si="39"/>
        <v>501.12720000000007</v>
      </c>
    </row>
    <row r="632" spans="1:19" ht="15" x14ac:dyDescent="0.25">
      <c r="A632" s="141" t="s">
        <v>148</v>
      </c>
      <c r="B632" s="141" t="s">
        <v>322</v>
      </c>
      <c r="C632" s="141" t="s">
        <v>67</v>
      </c>
      <c r="D632" s="142" t="s">
        <v>241</v>
      </c>
      <c r="E632" s="158" t="s">
        <v>371</v>
      </c>
      <c r="F632" s="142" t="s">
        <v>142</v>
      </c>
      <c r="G632" s="144">
        <v>109001</v>
      </c>
      <c r="H632" s="141" t="s">
        <v>101</v>
      </c>
      <c r="I632" s="141" t="s">
        <v>247</v>
      </c>
      <c r="J632" s="159" t="s">
        <v>248</v>
      </c>
      <c r="K632" s="160">
        <v>0</v>
      </c>
      <c r="L632" s="141"/>
      <c r="M632" s="161">
        <v>869590.69</v>
      </c>
      <c r="N632" s="161">
        <v>919000</v>
      </c>
      <c r="O632" s="161">
        <v>-124000</v>
      </c>
      <c r="P632" s="161">
        <v>795000</v>
      </c>
      <c r="Q632" s="104">
        <f t="shared" si="38"/>
        <v>74590.689999999944</v>
      </c>
      <c r="R632" s="129">
        <f t="shared" ref="R632:R635" si="41">M632*-1.141</f>
        <v>-992202.97728999995</v>
      </c>
    </row>
    <row r="633" spans="1:19" ht="15" x14ac:dyDescent="0.25">
      <c r="A633" s="141" t="s">
        <v>148</v>
      </c>
      <c r="B633" s="141" t="s">
        <v>322</v>
      </c>
      <c r="C633" s="141" t="s">
        <v>67</v>
      </c>
      <c r="D633" s="142" t="s">
        <v>241</v>
      </c>
      <c r="E633" s="158" t="s">
        <v>371</v>
      </c>
      <c r="F633" s="142" t="s">
        <v>142</v>
      </c>
      <c r="G633" s="144">
        <v>109001</v>
      </c>
      <c r="H633" s="141" t="s">
        <v>101</v>
      </c>
      <c r="I633" s="141" t="s">
        <v>247</v>
      </c>
      <c r="J633" s="159" t="s">
        <v>288</v>
      </c>
      <c r="K633" s="160">
        <v>0</v>
      </c>
      <c r="L633" s="141"/>
      <c r="M633" s="161">
        <v>934.14</v>
      </c>
      <c r="N633" s="161">
        <v>0</v>
      </c>
      <c r="O633" s="161">
        <v>0</v>
      </c>
      <c r="P633" s="161">
        <v>0</v>
      </c>
      <c r="Q633" s="104">
        <f t="shared" si="38"/>
        <v>934.14</v>
      </c>
      <c r="R633" s="129">
        <f t="shared" si="41"/>
        <v>-1065.85374</v>
      </c>
    </row>
    <row r="634" spans="1:19" ht="15" x14ac:dyDescent="0.25">
      <c r="A634" s="141" t="s">
        <v>148</v>
      </c>
      <c r="B634" s="141" t="s">
        <v>322</v>
      </c>
      <c r="C634" s="141" t="s">
        <v>67</v>
      </c>
      <c r="D634" s="142" t="s">
        <v>241</v>
      </c>
      <c r="E634" s="158" t="s">
        <v>371</v>
      </c>
      <c r="F634" s="142" t="s">
        <v>142</v>
      </c>
      <c r="G634" s="144">
        <v>109001</v>
      </c>
      <c r="H634" s="141" t="s">
        <v>101</v>
      </c>
      <c r="I634" s="141" t="s">
        <v>247</v>
      </c>
      <c r="J634" s="159" t="s">
        <v>297</v>
      </c>
      <c r="K634" s="160">
        <v>0</v>
      </c>
      <c r="L634" s="141"/>
      <c r="M634" s="161">
        <v>608.69000000000005</v>
      </c>
      <c r="N634" s="161">
        <v>0</v>
      </c>
      <c r="O634" s="161">
        <v>0</v>
      </c>
      <c r="P634" s="161">
        <v>0</v>
      </c>
      <c r="Q634" s="104">
        <f t="shared" si="38"/>
        <v>608.69000000000005</v>
      </c>
      <c r="R634" s="129">
        <f t="shared" si="41"/>
        <v>-694.51529000000005</v>
      </c>
    </row>
    <row r="635" spans="1:19" ht="15" x14ac:dyDescent="0.25">
      <c r="A635" s="141" t="s">
        <v>148</v>
      </c>
      <c r="B635" s="141" t="s">
        <v>322</v>
      </c>
      <c r="C635" s="141" t="s">
        <v>67</v>
      </c>
      <c r="D635" s="142" t="s">
        <v>241</v>
      </c>
      <c r="E635" s="158" t="s">
        <v>371</v>
      </c>
      <c r="F635" s="142" t="s">
        <v>142</v>
      </c>
      <c r="G635" s="144">
        <v>109001</v>
      </c>
      <c r="H635" s="141" t="s">
        <v>101</v>
      </c>
      <c r="I635" s="141" t="s">
        <v>247</v>
      </c>
      <c r="J635" s="159" t="s">
        <v>313</v>
      </c>
      <c r="K635" s="160">
        <v>0</v>
      </c>
      <c r="L635" s="141"/>
      <c r="M635" s="161">
        <v>169.52</v>
      </c>
      <c r="N635" s="161">
        <v>0</v>
      </c>
      <c r="O635" s="161">
        <v>0</v>
      </c>
      <c r="P635" s="161">
        <v>0</v>
      </c>
      <c r="Q635" s="104">
        <f t="shared" si="38"/>
        <v>169.52</v>
      </c>
      <c r="R635" s="129">
        <f t="shared" si="41"/>
        <v>-193.42232000000001</v>
      </c>
    </row>
    <row r="636" spans="1:19" ht="15" x14ac:dyDescent="0.25">
      <c r="A636" s="141" t="s">
        <v>148</v>
      </c>
      <c r="B636" s="141" t="s">
        <v>322</v>
      </c>
      <c r="C636" s="141" t="s">
        <v>67</v>
      </c>
      <c r="D636" s="142" t="s">
        <v>241</v>
      </c>
      <c r="E636" s="158" t="s">
        <v>371</v>
      </c>
      <c r="F636" s="142" t="s">
        <v>142</v>
      </c>
      <c r="G636" s="144">
        <v>109901</v>
      </c>
      <c r="H636" s="141" t="s">
        <v>102</v>
      </c>
      <c r="I636" s="141" t="s">
        <v>247</v>
      </c>
      <c r="J636" s="159" t="s">
        <v>248</v>
      </c>
      <c r="K636" s="160">
        <v>0</v>
      </c>
      <c r="L636" s="141"/>
      <c r="M636" s="161">
        <v>1373220.6</v>
      </c>
      <c r="N636" s="161">
        <v>1507000</v>
      </c>
      <c r="O636" s="161">
        <v>-204000</v>
      </c>
      <c r="P636" s="161">
        <v>1303000</v>
      </c>
      <c r="Q636" s="104">
        <f t="shared" si="38"/>
        <v>70220.600000000093</v>
      </c>
      <c r="R636" s="104"/>
    </row>
    <row r="637" spans="1:19" ht="15" x14ac:dyDescent="0.25">
      <c r="A637" s="141" t="s">
        <v>148</v>
      </c>
      <c r="B637" s="141" t="s">
        <v>322</v>
      </c>
      <c r="C637" s="141" t="s">
        <v>67</v>
      </c>
      <c r="D637" s="142" t="s">
        <v>241</v>
      </c>
      <c r="E637" s="158" t="s">
        <v>371</v>
      </c>
      <c r="F637" s="142" t="s">
        <v>142</v>
      </c>
      <c r="G637" s="144">
        <v>109901</v>
      </c>
      <c r="H637" s="141" t="s">
        <v>102</v>
      </c>
      <c r="I637" s="141" t="s">
        <v>247</v>
      </c>
      <c r="J637" s="159" t="s">
        <v>288</v>
      </c>
      <c r="K637" s="160">
        <v>0</v>
      </c>
      <c r="L637" s="141"/>
      <c r="M637" s="161">
        <v>1521.72</v>
      </c>
      <c r="N637" s="161">
        <v>0</v>
      </c>
      <c r="O637" s="161">
        <v>0</v>
      </c>
      <c r="P637" s="161">
        <v>0</v>
      </c>
      <c r="Q637" s="104">
        <f t="shared" si="38"/>
        <v>1521.72</v>
      </c>
      <c r="R637" s="104"/>
    </row>
    <row r="638" spans="1:19" ht="15" x14ac:dyDescent="0.25">
      <c r="A638" s="141" t="s">
        <v>148</v>
      </c>
      <c r="B638" s="141" t="s">
        <v>322</v>
      </c>
      <c r="C638" s="141" t="s">
        <v>67</v>
      </c>
      <c r="D638" s="142" t="s">
        <v>241</v>
      </c>
      <c r="E638" s="158" t="s">
        <v>371</v>
      </c>
      <c r="F638" s="142" t="s">
        <v>142</v>
      </c>
      <c r="G638" s="144">
        <v>109901</v>
      </c>
      <c r="H638" s="141" t="s">
        <v>102</v>
      </c>
      <c r="I638" s="141" t="s">
        <v>247</v>
      </c>
      <c r="J638" s="159" t="s">
        <v>303</v>
      </c>
      <c r="K638" s="160">
        <v>0</v>
      </c>
      <c r="L638" s="141"/>
      <c r="M638" s="161">
        <v>619.32000000000005</v>
      </c>
      <c r="N638" s="161">
        <v>0</v>
      </c>
      <c r="O638" s="161">
        <v>0</v>
      </c>
      <c r="P638" s="161">
        <v>0</v>
      </c>
      <c r="Q638" s="104">
        <f t="shared" si="38"/>
        <v>619.32000000000005</v>
      </c>
      <c r="R638" s="104"/>
    </row>
    <row r="639" spans="1:19" ht="15" x14ac:dyDescent="0.25">
      <c r="A639" s="141" t="s">
        <v>148</v>
      </c>
      <c r="B639" s="141" t="s">
        <v>322</v>
      </c>
      <c r="C639" s="141" t="s">
        <v>67</v>
      </c>
      <c r="D639" s="142" t="s">
        <v>241</v>
      </c>
      <c r="E639" s="158" t="s">
        <v>371</v>
      </c>
      <c r="F639" s="142" t="s">
        <v>142</v>
      </c>
      <c r="G639" s="144">
        <v>109901</v>
      </c>
      <c r="H639" s="141" t="s">
        <v>102</v>
      </c>
      <c r="I639" s="141" t="s">
        <v>247</v>
      </c>
      <c r="J639" s="159" t="s">
        <v>297</v>
      </c>
      <c r="K639" s="160">
        <v>0</v>
      </c>
      <c r="L639" s="141"/>
      <c r="M639" s="161">
        <v>4362.6400000000003</v>
      </c>
      <c r="N639" s="161">
        <v>0</v>
      </c>
      <c r="O639" s="161">
        <v>0</v>
      </c>
      <c r="P639" s="161">
        <v>0</v>
      </c>
      <c r="Q639" s="104">
        <f t="shared" si="38"/>
        <v>4362.6400000000003</v>
      </c>
      <c r="R639" s="104"/>
    </row>
    <row r="640" spans="1:19" ht="15" x14ac:dyDescent="0.25">
      <c r="A640" s="141" t="s">
        <v>148</v>
      </c>
      <c r="B640" s="141" t="s">
        <v>322</v>
      </c>
      <c r="C640" s="141" t="s">
        <v>67</v>
      </c>
      <c r="D640" s="142" t="s">
        <v>241</v>
      </c>
      <c r="E640" s="158" t="s">
        <v>371</v>
      </c>
      <c r="F640" s="142" t="s">
        <v>142</v>
      </c>
      <c r="G640" s="144">
        <v>109901</v>
      </c>
      <c r="H640" s="141" t="s">
        <v>102</v>
      </c>
      <c r="I640" s="141" t="s">
        <v>247</v>
      </c>
      <c r="J640" s="159" t="s">
        <v>313</v>
      </c>
      <c r="K640" s="160">
        <v>0</v>
      </c>
      <c r="L640" s="141"/>
      <c r="M640" s="161">
        <v>276.14999999999998</v>
      </c>
      <c r="N640" s="161">
        <v>0</v>
      </c>
      <c r="O640" s="161">
        <v>0</v>
      </c>
      <c r="P640" s="161">
        <v>0</v>
      </c>
      <c r="Q640" s="104">
        <f t="shared" si="38"/>
        <v>276.14999999999998</v>
      </c>
      <c r="R640" s="104"/>
    </row>
    <row r="641" spans="1:19" ht="15" x14ac:dyDescent="0.25">
      <c r="A641" s="141" t="s">
        <v>148</v>
      </c>
      <c r="B641" s="141" t="s">
        <v>323</v>
      </c>
      <c r="C641" s="141" t="s">
        <v>166</v>
      </c>
      <c r="D641" s="142" t="s">
        <v>241</v>
      </c>
      <c r="E641" s="158" t="s">
        <v>371</v>
      </c>
      <c r="F641" s="142" t="s">
        <v>142</v>
      </c>
      <c r="G641" s="141">
        <v>101001</v>
      </c>
      <c r="H641" s="141" t="s">
        <v>104</v>
      </c>
      <c r="I641" s="141" t="s">
        <v>247</v>
      </c>
      <c r="J641" s="159" t="s">
        <v>248</v>
      </c>
      <c r="K641" s="160">
        <v>0</v>
      </c>
      <c r="L641" s="141"/>
      <c r="M641" s="161">
        <v>2129639.71</v>
      </c>
      <c r="N641" s="161">
        <v>4016000</v>
      </c>
      <c r="O641" s="161">
        <v>-1640000</v>
      </c>
      <c r="P641" s="161">
        <v>2376000</v>
      </c>
      <c r="Q641" s="104">
        <f t="shared" si="38"/>
        <v>-246360.29000000004</v>
      </c>
      <c r="R641" s="104"/>
      <c r="S641" s="66">
        <f t="shared" si="39"/>
        <v>242991.89091100002</v>
      </c>
    </row>
    <row r="642" spans="1:19" ht="15" x14ac:dyDescent="0.25">
      <c r="A642" s="141" t="s">
        <v>148</v>
      </c>
      <c r="B642" s="141" t="s">
        <v>323</v>
      </c>
      <c r="C642" s="141" t="s">
        <v>166</v>
      </c>
      <c r="D642" s="142" t="s">
        <v>241</v>
      </c>
      <c r="E642" s="158" t="s">
        <v>371</v>
      </c>
      <c r="F642" s="142" t="s">
        <v>142</v>
      </c>
      <c r="G642" s="141">
        <v>101002</v>
      </c>
      <c r="H642" s="141" t="s">
        <v>105</v>
      </c>
      <c r="I642" s="141" t="s">
        <v>247</v>
      </c>
      <c r="J642" s="159" t="s">
        <v>248</v>
      </c>
      <c r="K642" s="160">
        <v>0</v>
      </c>
      <c r="L642" s="141"/>
      <c r="M642" s="161">
        <v>-217.13</v>
      </c>
      <c r="N642" s="161">
        <v>0</v>
      </c>
      <c r="O642" s="161">
        <v>0</v>
      </c>
      <c r="P642" s="161">
        <v>0</v>
      </c>
      <c r="Q642" s="104">
        <f t="shared" si="38"/>
        <v>-217.13</v>
      </c>
      <c r="R642" s="104"/>
      <c r="S642" s="66">
        <f t="shared" si="39"/>
        <v>-24.774533000000002</v>
      </c>
    </row>
    <row r="643" spans="1:19" ht="15" x14ac:dyDescent="0.25">
      <c r="A643" s="141" t="s">
        <v>148</v>
      </c>
      <c r="B643" s="141" t="s">
        <v>323</v>
      </c>
      <c r="C643" s="141" t="s">
        <v>166</v>
      </c>
      <c r="D643" s="142" t="s">
        <v>241</v>
      </c>
      <c r="E643" s="158" t="s">
        <v>371</v>
      </c>
      <c r="F643" s="142" t="s">
        <v>142</v>
      </c>
      <c r="G643" s="141">
        <v>101039</v>
      </c>
      <c r="H643" s="141" t="s">
        <v>107</v>
      </c>
      <c r="I643" s="141" t="s">
        <v>247</v>
      </c>
      <c r="J643" s="159" t="s">
        <v>248</v>
      </c>
      <c r="K643" s="160">
        <v>0</v>
      </c>
      <c r="L643" s="141"/>
      <c r="M643" s="161">
        <v>71522.03</v>
      </c>
      <c r="N643" s="161">
        <v>0</v>
      </c>
      <c r="O643" s="161">
        <v>0</v>
      </c>
      <c r="P643" s="161">
        <v>0</v>
      </c>
      <c r="Q643" s="104">
        <f t="shared" si="38"/>
        <v>71522.03</v>
      </c>
      <c r="R643" s="104"/>
      <c r="S643" s="66">
        <f t="shared" si="39"/>
        <v>8160.6636230000004</v>
      </c>
    </row>
    <row r="644" spans="1:19" ht="15" x14ac:dyDescent="0.25">
      <c r="A644" s="141" t="s">
        <v>148</v>
      </c>
      <c r="B644" s="141" t="s">
        <v>323</v>
      </c>
      <c r="C644" s="141" t="s">
        <v>166</v>
      </c>
      <c r="D644" s="142" t="s">
        <v>241</v>
      </c>
      <c r="E644" s="158" t="s">
        <v>371</v>
      </c>
      <c r="F644" s="142" t="s">
        <v>142</v>
      </c>
      <c r="G644" s="141">
        <v>102003</v>
      </c>
      <c r="H644" s="141" t="s">
        <v>106</v>
      </c>
      <c r="I644" s="141" t="s">
        <v>247</v>
      </c>
      <c r="J644" s="159" t="s">
        <v>248</v>
      </c>
      <c r="K644" s="160">
        <v>0</v>
      </c>
      <c r="L644" s="141"/>
      <c r="M644" s="161">
        <v>0</v>
      </c>
      <c r="N644" s="161">
        <v>91000</v>
      </c>
      <c r="O644" s="161">
        <v>-71000</v>
      </c>
      <c r="P644" s="161">
        <v>20000</v>
      </c>
      <c r="Q644" s="104">
        <f t="shared" si="38"/>
        <v>-20000</v>
      </c>
      <c r="R644" s="104"/>
      <c r="S644" s="66">
        <f t="shared" si="39"/>
        <v>0</v>
      </c>
    </row>
    <row r="645" spans="1:19" ht="15" x14ac:dyDescent="0.25">
      <c r="A645" s="141" t="s">
        <v>148</v>
      </c>
      <c r="B645" s="141" t="s">
        <v>323</v>
      </c>
      <c r="C645" s="141" t="s">
        <v>166</v>
      </c>
      <c r="D645" s="142" t="s">
        <v>241</v>
      </c>
      <c r="E645" s="158" t="s">
        <v>371</v>
      </c>
      <c r="F645" s="142" t="s">
        <v>142</v>
      </c>
      <c r="G645" s="141">
        <v>102062</v>
      </c>
      <c r="H645" s="141" t="s">
        <v>113</v>
      </c>
      <c r="I645" s="141" t="s">
        <v>247</v>
      </c>
      <c r="J645" s="159" t="s">
        <v>248</v>
      </c>
      <c r="K645" s="160">
        <v>0</v>
      </c>
      <c r="L645" s="141"/>
      <c r="M645" s="161">
        <v>3909.71</v>
      </c>
      <c r="N645" s="161">
        <v>0</v>
      </c>
      <c r="O645" s="161">
        <v>0</v>
      </c>
      <c r="P645" s="161">
        <v>0</v>
      </c>
      <c r="Q645" s="104">
        <f t="shared" si="38"/>
        <v>3909.71</v>
      </c>
      <c r="R645" s="104"/>
      <c r="S645" s="66">
        <f t="shared" si="39"/>
        <v>446.09791100000001</v>
      </c>
    </row>
    <row r="646" spans="1:19" ht="15" x14ac:dyDescent="0.25">
      <c r="A646" s="141" t="s">
        <v>148</v>
      </c>
      <c r="B646" s="141" t="s">
        <v>323</v>
      </c>
      <c r="C646" s="141" t="s">
        <v>166</v>
      </c>
      <c r="D646" s="142" t="s">
        <v>241</v>
      </c>
      <c r="E646" s="158" t="s">
        <v>371</v>
      </c>
      <c r="F646" s="142" t="s">
        <v>142</v>
      </c>
      <c r="G646" s="141">
        <v>103001</v>
      </c>
      <c r="H646" s="141" t="s">
        <v>109</v>
      </c>
      <c r="I646" s="141" t="s">
        <v>247</v>
      </c>
      <c r="J646" s="159" t="s">
        <v>248</v>
      </c>
      <c r="K646" s="160">
        <v>0</v>
      </c>
      <c r="L646" s="141"/>
      <c r="M646" s="161">
        <v>143011.03</v>
      </c>
      <c r="N646" s="161">
        <v>0</v>
      </c>
      <c r="O646" s="161">
        <v>5000</v>
      </c>
      <c r="P646" s="161">
        <v>5000</v>
      </c>
      <c r="Q646" s="104">
        <f t="shared" si="38"/>
        <v>138011.03</v>
      </c>
      <c r="R646" s="104"/>
      <c r="S646" s="66">
        <f t="shared" si="39"/>
        <v>16317.558523000002</v>
      </c>
    </row>
    <row r="647" spans="1:19" ht="15" x14ac:dyDescent="0.25">
      <c r="A647" s="141" t="s">
        <v>148</v>
      </c>
      <c r="B647" s="141" t="s">
        <v>323</v>
      </c>
      <c r="C647" s="141" t="s">
        <v>166</v>
      </c>
      <c r="D647" s="142" t="s">
        <v>241</v>
      </c>
      <c r="E647" s="158" t="s">
        <v>371</v>
      </c>
      <c r="F647" s="142" t="s">
        <v>142</v>
      </c>
      <c r="G647" s="141">
        <v>103001</v>
      </c>
      <c r="H647" s="141" t="s">
        <v>109</v>
      </c>
      <c r="I647" s="141" t="s">
        <v>247</v>
      </c>
      <c r="J647" s="159" t="s">
        <v>288</v>
      </c>
      <c r="K647" s="160">
        <v>0</v>
      </c>
      <c r="L647" s="141"/>
      <c r="M647" s="161">
        <v>17068.46</v>
      </c>
      <c r="N647" s="161">
        <v>0</v>
      </c>
      <c r="O647" s="161">
        <v>17000</v>
      </c>
      <c r="P647" s="161">
        <v>17000</v>
      </c>
      <c r="Q647" s="104">
        <f t="shared" si="38"/>
        <v>68.459999999999127</v>
      </c>
      <c r="R647" s="104"/>
      <c r="S647" s="66">
        <f t="shared" si="39"/>
        <v>1947.5112859999999</v>
      </c>
    </row>
    <row r="648" spans="1:19" ht="15" x14ac:dyDescent="0.25">
      <c r="A648" s="141" t="s">
        <v>148</v>
      </c>
      <c r="B648" s="141" t="s">
        <v>323</v>
      </c>
      <c r="C648" s="141" t="s">
        <v>166</v>
      </c>
      <c r="D648" s="142" t="s">
        <v>241</v>
      </c>
      <c r="E648" s="158" t="s">
        <v>371</v>
      </c>
      <c r="F648" s="142" t="s">
        <v>142</v>
      </c>
      <c r="G648" s="141">
        <v>103001</v>
      </c>
      <c r="H648" s="141" t="s">
        <v>109</v>
      </c>
      <c r="I648" s="141" t="s">
        <v>247</v>
      </c>
      <c r="J648" s="159" t="s">
        <v>373</v>
      </c>
      <c r="K648" s="160">
        <v>0</v>
      </c>
      <c r="L648" s="141"/>
      <c r="M648" s="161">
        <v>5689.49</v>
      </c>
      <c r="N648" s="161">
        <v>0</v>
      </c>
      <c r="O648" s="161">
        <v>0</v>
      </c>
      <c r="P648" s="161">
        <v>0</v>
      </c>
      <c r="Q648" s="104">
        <f t="shared" ref="Q648:Q711" si="42">M648-P648</f>
        <v>5689.49</v>
      </c>
      <c r="R648" s="129"/>
      <c r="S648" s="66">
        <f t="shared" si="39"/>
        <v>649.17080899999996</v>
      </c>
    </row>
    <row r="649" spans="1:19" ht="15" x14ac:dyDescent="0.25">
      <c r="A649" s="141" t="s">
        <v>148</v>
      </c>
      <c r="B649" s="141" t="s">
        <v>323</v>
      </c>
      <c r="C649" s="141" t="s">
        <v>166</v>
      </c>
      <c r="D649" s="142" t="s">
        <v>241</v>
      </c>
      <c r="E649" s="158" t="s">
        <v>371</v>
      </c>
      <c r="F649" s="142" t="s">
        <v>142</v>
      </c>
      <c r="G649" s="141">
        <v>103001</v>
      </c>
      <c r="H649" s="141" t="s">
        <v>109</v>
      </c>
      <c r="I649" s="141" t="s">
        <v>247</v>
      </c>
      <c r="J649" s="159" t="s">
        <v>286</v>
      </c>
      <c r="K649" s="160">
        <v>0</v>
      </c>
      <c r="L649" s="141"/>
      <c r="M649" s="161">
        <v>38256.400000000001</v>
      </c>
      <c r="N649" s="161">
        <v>0</v>
      </c>
      <c r="O649" s="161">
        <v>0</v>
      </c>
      <c r="P649" s="161">
        <v>0</v>
      </c>
      <c r="Q649" s="104">
        <f t="shared" si="42"/>
        <v>38256.400000000001</v>
      </c>
      <c r="R649" s="129"/>
      <c r="S649" s="66">
        <f t="shared" ref="S649:S712" si="43">M649*$S$7*1.141</f>
        <v>4365.0552400000006</v>
      </c>
    </row>
    <row r="650" spans="1:19" ht="15" x14ac:dyDescent="0.25">
      <c r="A650" s="141" t="s">
        <v>148</v>
      </c>
      <c r="B650" s="141" t="s">
        <v>323</v>
      </c>
      <c r="C650" s="141" t="s">
        <v>166</v>
      </c>
      <c r="D650" s="142" t="s">
        <v>241</v>
      </c>
      <c r="E650" s="158" t="s">
        <v>371</v>
      </c>
      <c r="F650" s="142" t="s">
        <v>142</v>
      </c>
      <c r="G650" s="141">
        <v>103069</v>
      </c>
      <c r="H650" s="141" t="s">
        <v>214</v>
      </c>
      <c r="I650" s="141" t="s">
        <v>247</v>
      </c>
      <c r="J650" s="159" t="s">
        <v>248</v>
      </c>
      <c r="K650" s="160">
        <v>0</v>
      </c>
      <c r="L650" s="141"/>
      <c r="M650" s="161">
        <v>16540.63</v>
      </c>
      <c r="N650" s="161">
        <v>0</v>
      </c>
      <c r="O650" s="161">
        <v>0</v>
      </c>
      <c r="P650" s="161">
        <v>0</v>
      </c>
      <c r="Q650" s="104">
        <f t="shared" si="42"/>
        <v>16540.63</v>
      </c>
      <c r="R650" s="129"/>
      <c r="S650" s="66">
        <f t="shared" si="43"/>
        <v>1887.2858830000002</v>
      </c>
    </row>
    <row r="651" spans="1:19" ht="15" x14ac:dyDescent="0.25">
      <c r="A651" s="141" t="s">
        <v>148</v>
      </c>
      <c r="B651" s="141" t="s">
        <v>323</v>
      </c>
      <c r="C651" s="141" t="s">
        <v>166</v>
      </c>
      <c r="D651" s="142" t="s">
        <v>241</v>
      </c>
      <c r="E651" s="158" t="s">
        <v>371</v>
      </c>
      <c r="F651" s="142" t="s">
        <v>142</v>
      </c>
      <c r="G651" s="141">
        <v>104000</v>
      </c>
      <c r="H651" s="141" t="s">
        <v>110</v>
      </c>
      <c r="I651" s="141" t="s">
        <v>247</v>
      </c>
      <c r="J651" s="159" t="s">
        <v>248</v>
      </c>
      <c r="K651" s="160">
        <v>0</v>
      </c>
      <c r="L651" s="141"/>
      <c r="M651" s="161">
        <v>24509.75</v>
      </c>
      <c r="N651" s="161">
        <v>28000</v>
      </c>
      <c r="O651" s="161">
        <v>-3000</v>
      </c>
      <c r="P651" s="161">
        <v>25000</v>
      </c>
      <c r="Q651" s="104">
        <f t="shared" si="42"/>
        <v>-490.25</v>
      </c>
      <c r="R651" s="129"/>
      <c r="S651" s="66">
        <f t="shared" si="43"/>
        <v>2796.5624749999997</v>
      </c>
    </row>
    <row r="652" spans="1:19" ht="15" x14ac:dyDescent="0.25">
      <c r="A652" s="141" t="s">
        <v>148</v>
      </c>
      <c r="B652" s="141" t="s">
        <v>323</v>
      </c>
      <c r="C652" s="141" t="s">
        <v>166</v>
      </c>
      <c r="D652" s="142" t="s">
        <v>241</v>
      </c>
      <c r="E652" s="158" t="s">
        <v>371</v>
      </c>
      <c r="F652" s="142" t="s">
        <v>142</v>
      </c>
      <c r="G652" s="141">
        <v>104000</v>
      </c>
      <c r="H652" s="141" t="s">
        <v>110</v>
      </c>
      <c r="I652" s="141" t="s">
        <v>247</v>
      </c>
      <c r="J652" s="159" t="s">
        <v>373</v>
      </c>
      <c r="K652" s="160">
        <v>0</v>
      </c>
      <c r="L652" s="141"/>
      <c r="M652" s="161">
        <v>1099.45</v>
      </c>
      <c r="N652" s="161">
        <v>0</v>
      </c>
      <c r="O652" s="161">
        <v>0</v>
      </c>
      <c r="P652" s="161">
        <v>0</v>
      </c>
      <c r="Q652" s="104">
        <f t="shared" si="42"/>
        <v>1099.45</v>
      </c>
      <c r="R652" s="129"/>
      <c r="S652" s="66">
        <f t="shared" si="43"/>
        <v>125.44724500000001</v>
      </c>
    </row>
    <row r="653" spans="1:19" ht="15" x14ac:dyDescent="0.25">
      <c r="A653" s="141" t="s">
        <v>148</v>
      </c>
      <c r="B653" s="141" t="s">
        <v>323</v>
      </c>
      <c r="C653" s="141" t="s">
        <v>166</v>
      </c>
      <c r="D653" s="142" t="s">
        <v>241</v>
      </c>
      <c r="E653" s="158" t="s">
        <v>371</v>
      </c>
      <c r="F653" s="142" t="s">
        <v>142</v>
      </c>
      <c r="G653" s="141">
        <v>105010</v>
      </c>
      <c r="H653" s="141" t="s">
        <v>118</v>
      </c>
      <c r="I653" s="141" t="s">
        <v>247</v>
      </c>
      <c r="J653" s="159" t="s">
        <v>248</v>
      </c>
      <c r="K653" s="160">
        <v>0</v>
      </c>
      <c r="L653" s="141"/>
      <c r="M653" s="161">
        <v>10807.63</v>
      </c>
      <c r="N653" s="161">
        <v>0</v>
      </c>
      <c r="O653" s="161">
        <v>0</v>
      </c>
      <c r="P653" s="161">
        <v>0</v>
      </c>
      <c r="Q653" s="104">
        <f t="shared" si="42"/>
        <v>10807.63</v>
      </c>
      <c r="R653" s="104"/>
      <c r="S653" s="66">
        <f t="shared" si="43"/>
        <v>1233.1505829999999</v>
      </c>
    </row>
    <row r="654" spans="1:19" ht="15" x14ac:dyDescent="0.25">
      <c r="A654" s="141" t="s">
        <v>148</v>
      </c>
      <c r="B654" s="141" t="s">
        <v>323</v>
      </c>
      <c r="C654" s="141" t="s">
        <v>166</v>
      </c>
      <c r="D654" s="142" t="s">
        <v>241</v>
      </c>
      <c r="E654" s="158" t="s">
        <v>371</v>
      </c>
      <c r="F654" s="142" t="s">
        <v>142</v>
      </c>
      <c r="G654" s="141">
        <v>105098</v>
      </c>
      <c r="H654" s="141" t="s">
        <v>265</v>
      </c>
      <c r="I654" s="141" t="s">
        <v>247</v>
      </c>
      <c r="J654" s="159" t="s">
        <v>302</v>
      </c>
      <c r="K654" s="160">
        <v>0</v>
      </c>
      <c r="L654" s="141"/>
      <c r="M654" s="161">
        <v>-2562</v>
      </c>
      <c r="N654" s="161">
        <v>0</v>
      </c>
      <c r="O654" s="161">
        <v>0</v>
      </c>
      <c r="P654" s="161">
        <v>0</v>
      </c>
      <c r="Q654" s="104">
        <f t="shared" si="42"/>
        <v>-2562</v>
      </c>
      <c r="R654" s="104"/>
      <c r="S654" s="66">
        <f t="shared" si="43"/>
        <v>-292.32420000000002</v>
      </c>
    </row>
    <row r="655" spans="1:19" ht="15" x14ac:dyDescent="0.25">
      <c r="A655" s="141" t="s">
        <v>148</v>
      </c>
      <c r="B655" s="141" t="s">
        <v>323</v>
      </c>
      <c r="C655" s="141" t="s">
        <v>166</v>
      </c>
      <c r="D655" s="142" t="s">
        <v>241</v>
      </c>
      <c r="E655" s="158" t="s">
        <v>371</v>
      </c>
      <c r="F655" s="142" t="s">
        <v>142</v>
      </c>
      <c r="G655" s="141">
        <v>105099</v>
      </c>
      <c r="H655" s="141" t="s">
        <v>103</v>
      </c>
      <c r="I655" s="141" t="s">
        <v>247</v>
      </c>
      <c r="J655" s="159" t="s">
        <v>303</v>
      </c>
      <c r="K655" s="160">
        <v>0</v>
      </c>
      <c r="L655" s="141"/>
      <c r="M655" s="161">
        <v>2562</v>
      </c>
      <c r="N655" s="161">
        <v>0</v>
      </c>
      <c r="O655" s="161">
        <v>0</v>
      </c>
      <c r="P655" s="161">
        <v>0</v>
      </c>
      <c r="Q655" s="104">
        <f t="shared" si="42"/>
        <v>2562</v>
      </c>
      <c r="R655" s="129"/>
      <c r="S655" s="66">
        <f t="shared" si="43"/>
        <v>292.32420000000002</v>
      </c>
    </row>
    <row r="656" spans="1:19" ht="15" x14ac:dyDescent="0.25">
      <c r="A656" s="141" t="s">
        <v>148</v>
      </c>
      <c r="B656" s="141" t="s">
        <v>323</v>
      </c>
      <c r="C656" s="141" t="s">
        <v>166</v>
      </c>
      <c r="D656" s="142" t="s">
        <v>241</v>
      </c>
      <c r="E656" s="158" t="s">
        <v>371</v>
      </c>
      <c r="F656" s="142" t="s">
        <v>142</v>
      </c>
      <c r="G656" s="144">
        <v>109001</v>
      </c>
      <c r="H656" s="141" t="s">
        <v>101</v>
      </c>
      <c r="I656" s="141" t="s">
        <v>247</v>
      </c>
      <c r="J656" s="159" t="s">
        <v>248</v>
      </c>
      <c r="K656" s="160">
        <v>0</v>
      </c>
      <c r="L656" s="141"/>
      <c r="M656" s="161">
        <v>237310.07</v>
      </c>
      <c r="N656" s="161">
        <v>389000</v>
      </c>
      <c r="O656" s="161">
        <v>-151000</v>
      </c>
      <c r="P656" s="161">
        <v>238000</v>
      </c>
      <c r="Q656" s="104">
        <f t="shared" si="42"/>
        <v>-689.92999999999302</v>
      </c>
      <c r="R656" s="129">
        <f t="shared" ref="R656:R659" si="44">M656*-1.141</f>
        <v>-270770.78987000004</v>
      </c>
    </row>
    <row r="657" spans="1:19" ht="15" x14ac:dyDescent="0.25">
      <c r="A657" s="141" t="s">
        <v>148</v>
      </c>
      <c r="B657" s="141" t="s">
        <v>323</v>
      </c>
      <c r="C657" s="141" t="s">
        <v>166</v>
      </c>
      <c r="D657" s="142" t="s">
        <v>241</v>
      </c>
      <c r="E657" s="158" t="s">
        <v>371</v>
      </c>
      <c r="F657" s="142" t="s">
        <v>142</v>
      </c>
      <c r="G657" s="144">
        <v>109001</v>
      </c>
      <c r="H657" s="141" t="s">
        <v>101</v>
      </c>
      <c r="I657" s="141" t="s">
        <v>247</v>
      </c>
      <c r="J657" s="159" t="s">
        <v>288</v>
      </c>
      <c r="K657" s="160">
        <v>0</v>
      </c>
      <c r="L657" s="141"/>
      <c r="M657" s="161">
        <v>1625.76</v>
      </c>
      <c r="N657" s="161">
        <v>0</v>
      </c>
      <c r="O657" s="161">
        <v>2000</v>
      </c>
      <c r="P657" s="161">
        <v>2000</v>
      </c>
      <c r="Q657" s="104">
        <f t="shared" si="42"/>
        <v>-374.24</v>
      </c>
      <c r="R657" s="129">
        <f t="shared" si="44"/>
        <v>-1854.99216</v>
      </c>
    </row>
    <row r="658" spans="1:19" ht="15" x14ac:dyDescent="0.25">
      <c r="A658" s="141" t="s">
        <v>148</v>
      </c>
      <c r="B658" s="141" t="s">
        <v>323</v>
      </c>
      <c r="C658" s="141" t="s">
        <v>166</v>
      </c>
      <c r="D658" s="142" t="s">
        <v>241</v>
      </c>
      <c r="E658" s="158" t="s">
        <v>371</v>
      </c>
      <c r="F658" s="142" t="s">
        <v>142</v>
      </c>
      <c r="G658" s="144">
        <v>109001</v>
      </c>
      <c r="H658" s="141" t="s">
        <v>101</v>
      </c>
      <c r="I658" s="141" t="s">
        <v>247</v>
      </c>
      <c r="J658" s="159" t="s">
        <v>373</v>
      </c>
      <c r="K658" s="160">
        <v>0</v>
      </c>
      <c r="L658" s="141"/>
      <c r="M658" s="161">
        <v>541.91999999999996</v>
      </c>
      <c r="N658" s="161">
        <v>0</v>
      </c>
      <c r="O658" s="161">
        <v>0</v>
      </c>
      <c r="P658" s="161">
        <v>0</v>
      </c>
      <c r="Q658" s="104">
        <f t="shared" si="42"/>
        <v>541.91999999999996</v>
      </c>
      <c r="R658" s="129">
        <f t="shared" si="44"/>
        <v>-618.33071999999993</v>
      </c>
    </row>
    <row r="659" spans="1:19" ht="15" x14ac:dyDescent="0.25">
      <c r="A659" s="141" t="s">
        <v>148</v>
      </c>
      <c r="B659" s="141" t="s">
        <v>323</v>
      </c>
      <c r="C659" s="141" t="s">
        <v>166</v>
      </c>
      <c r="D659" s="142" t="s">
        <v>241</v>
      </c>
      <c r="E659" s="158" t="s">
        <v>371</v>
      </c>
      <c r="F659" s="142" t="s">
        <v>142</v>
      </c>
      <c r="G659" s="144">
        <v>109001</v>
      </c>
      <c r="H659" s="141" t="s">
        <v>101</v>
      </c>
      <c r="I659" s="141" t="s">
        <v>247</v>
      </c>
      <c r="J659" s="159" t="s">
        <v>286</v>
      </c>
      <c r="K659" s="160">
        <v>0</v>
      </c>
      <c r="L659" s="141"/>
      <c r="M659" s="161">
        <v>3642.48</v>
      </c>
      <c r="N659" s="161">
        <v>0</v>
      </c>
      <c r="O659" s="161">
        <v>0</v>
      </c>
      <c r="P659" s="161">
        <v>0</v>
      </c>
      <c r="Q659" s="104">
        <f t="shared" si="42"/>
        <v>3642.48</v>
      </c>
      <c r="R659" s="129">
        <f t="shared" si="44"/>
        <v>-4156.0696800000005</v>
      </c>
    </row>
    <row r="660" spans="1:19" ht="15" x14ac:dyDescent="0.25">
      <c r="A660" s="141" t="s">
        <v>148</v>
      </c>
      <c r="B660" s="141" t="s">
        <v>323</v>
      </c>
      <c r="C660" s="141" t="s">
        <v>166</v>
      </c>
      <c r="D660" s="142" t="s">
        <v>241</v>
      </c>
      <c r="E660" s="158" t="s">
        <v>371</v>
      </c>
      <c r="F660" s="142" t="s">
        <v>142</v>
      </c>
      <c r="G660" s="144">
        <v>109901</v>
      </c>
      <c r="H660" s="141" t="s">
        <v>102</v>
      </c>
      <c r="I660" s="141" t="s">
        <v>247</v>
      </c>
      <c r="J660" s="159" t="s">
        <v>248</v>
      </c>
      <c r="K660" s="160">
        <v>0</v>
      </c>
      <c r="L660" s="141"/>
      <c r="M660" s="161">
        <v>348474.17</v>
      </c>
      <c r="N660" s="161">
        <v>639000</v>
      </c>
      <c r="O660" s="161">
        <v>-282000</v>
      </c>
      <c r="P660" s="161">
        <v>357000</v>
      </c>
      <c r="Q660" s="104">
        <f t="shared" si="42"/>
        <v>-8525.8300000000163</v>
      </c>
      <c r="R660" s="104"/>
    </row>
    <row r="661" spans="1:19" ht="15" x14ac:dyDescent="0.25">
      <c r="A661" s="141" t="s">
        <v>148</v>
      </c>
      <c r="B661" s="141" t="s">
        <v>323</v>
      </c>
      <c r="C661" s="141" t="s">
        <v>166</v>
      </c>
      <c r="D661" s="142" t="s">
        <v>241</v>
      </c>
      <c r="E661" s="158" t="s">
        <v>371</v>
      </c>
      <c r="F661" s="142" t="s">
        <v>142</v>
      </c>
      <c r="G661" s="144">
        <v>109901</v>
      </c>
      <c r="H661" s="141" t="s">
        <v>102</v>
      </c>
      <c r="I661" s="141" t="s">
        <v>247</v>
      </c>
      <c r="J661" s="159" t="s">
        <v>288</v>
      </c>
      <c r="K661" s="160">
        <v>0</v>
      </c>
      <c r="L661" s="141"/>
      <c r="M661" s="161">
        <v>2635.88</v>
      </c>
      <c r="N661" s="161">
        <v>0</v>
      </c>
      <c r="O661" s="161">
        <v>3000</v>
      </c>
      <c r="P661" s="161">
        <v>3000</v>
      </c>
      <c r="Q661" s="104">
        <f t="shared" si="42"/>
        <v>-364.11999999999989</v>
      </c>
      <c r="R661" s="104"/>
    </row>
    <row r="662" spans="1:19" ht="15" x14ac:dyDescent="0.25">
      <c r="A662" s="141" t="s">
        <v>148</v>
      </c>
      <c r="B662" s="141" t="s">
        <v>323</v>
      </c>
      <c r="C662" s="141" t="s">
        <v>166</v>
      </c>
      <c r="D662" s="142" t="s">
        <v>241</v>
      </c>
      <c r="E662" s="158" t="s">
        <v>371</v>
      </c>
      <c r="F662" s="142" t="s">
        <v>142</v>
      </c>
      <c r="G662" s="144">
        <v>109901</v>
      </c>
      <c r="H662" s="141" t="s">
        <v>102</v>
      </c>
      <c r="I662" s="141" t="s">
        <v>247</v>
      </c>
      <c r="J662" s="159" t="s">
        <v>303</v>
      </c>
      <c r="K662" s="160">
        <v>0</v>
      </c>
      <c r="L662" s="141"/>
      <c r="M662" s="161">
        <v>361.27</v>
      </c>
      <c r="N662" s="161">
        <v>0</v>
      </c>
      <c r="O662" s="161">
        <v>0</v>
      </c>
      <c r="P662" s="161">
        <v>0</v>
      </c>
      <c r="Q662" s="104">
        <f t="shared" si="42"/>
        <v>361.27</v>
      </c>
      <c r="R662" s="104"/>
    </row>
    <row r="663" spans="1:19" ht="15" x14ac:dyDescent="0.25">
      <c r="A663" s="141" t="s">
        <v>148</v>
      </c>
      <c r="B663" s="141" t="s">
        <v>323</v>
      </c>
      <c r="C663" s="141" t="s">
        <v>166</v>
      </c>
      <c r="D663" s="142" t="s">
        <v>241</v>
      </c>
      <c r="E663" s="158" t="s">
        <v>371</v>
      </c>
      <c r="F663" s="142" t="s">
        <v>142</v>
      </c>
      <c r="G663" s="144">
        <v>109901</v>
      </c>
      <c r="H663" s="141" t="s">
        <v>102</v>
      </c>
      <c r="I663" s="141" t="s">
        <v>247</v>
      </c>
      <c r="J663" s="159" t="s">
        <v>373</v>
      </c>
      <c r="K663" s="160">
        <v>0</v>
      </c>
      <c r="L663" s="141"/>
      <c r="M663" s="161">
        <v>1033.6500000000001</v>
      </c>
      <c r="N663" s="161">
        <v>0</v>
      </c>
      <c r="O663" s="161">
        <v>0</v>
      </c>
      <c r="P663" s="161">
        <v>0</v>
      </c>
      <c r="Q663" s="104">
        <f t="shared" si="42"/>
        <v>1033.6500000000001</v>
      </c>
      <c r="R663" s="104"/>
    </row>
    <row r="664" spans="1:19" ht="15" x14ac:dyDescent="0.25">
      <c r="A664" s="141" t="s">
        <v>148</v>
      </c>
      <c r="B664" s="141" t="s">
        <v>323</v>
      </c>
      <c r="C664" s="141" t="s">
        <v>166</v>
      </c>
      <c r="D664" s="142" t="s">
        <v>241</v>
      </c>
      <c r="E664" s="158" t="s">
        <v>371</v>
      </c>
      <c r="F664" s="142" t="s">
        <v>142</v>
      </c>
      <c r="G664" s="144">
        <v>109901</v>
      </c>
      <c r="H664" s="141" t="s">
        <v>102</v>
      </c>
      <c r="I664" s="141" t="s">
        <v>247</v>
      </c>
      <c r="J664" s="159" t="s">
        <v>286</v>
      </c>
      <c r="K664" s="160">
        <v>0</v>
      </c>
      <c r="L664" s="141"/>
      <c r="M664" s="161">
        <v>5907.73</v>
      </c>
      <c r="N664" s="161">
        <v>0</v>
      </c>
      <c r="O664" s="161">
        <v>0</v>
      </c>
      <c r="P664" s="161">
        <v>0</v>
      </c>
      <c r="Q664" s="104">
        <f t="shared" si="42"/>
        <v>5907.73</v>
      </c>
      <c r="R664" s="104"/>
    </row>
    <row r="665" spans="1:19" ht="15" x14ac:dyDescent="0.25">
      <c r="A665" s="141" t="s">
        <v>148</v>
      </c>
      <c r="B665" s="141" t="s">
        <v>324</v>
      </c>
      <c r="C665" s="141" t="s">
        <v>68</v>
      </c>
      <c r="D665" s="142" t="s">
        <v>241</v>
      </c>
      <c r="E665" s="158" t="s">
        <v>371</v>
      </c>
      <c r="F665" s="142" t="s">
        <v>142</v>
      </c>
      <c r="G665" s="141">
        <v>101001</v>
      </c>
      <c r="H665" s="141" t="s">
        <v>104</v>
      </c>
      <c r="I665" s="141" t="s">
        <v>247</v>
      </c>
      <c r="J665" s="159" t="s">
        <v>248</v>
      </c>
      <c r="K665" s="160">
        <v>0</v>
      </c>
      <c r="L665" s="141"/>
      <c r="M665" s="161">
        <v>4582964.62</v>
      </c>
      <c r="N665" s="161">
        <v>4607000</v>
      </c>
      <c r="O665" s="161">
        <v>165000</v>
      </c>
      <c r="P665" s="161">
        <v>4772000</v>
      </c>
      <c r="Q665" s="104">
        <f t="shared" si="42"/>
        <v>-189035.37999999989</v>
      </c>
      <c r="R665" s="104"/>
      <c r="S665" s="66">
        <f t="shared" si="43"/>
        <v>522916.26314200007</v>
      </c>
    </row>
    <row r="666" spans="1:19" ht="15" x14ac:dyDescent="0.25">
      <c r="A666" s="141" t="s">
        <v>148</v>
      </c>
      <c r="B666" s="141" t="s">
        <v>324</v>
      </c>
      <c r="C666" s="141" t="s">
        <v>68</v>
      </c>
      <c r="D666" s="142" t="s">
        <v>241</v>
      </c>
      <c r="E666" s="158" t="s">
        <v>371</v>
      </c>
      <c r="F666" s="142" t="s">
        <v>142</v>
      </c>
      <c r="G666" s="141">
        <v>101002</v>
      </c>
      <c r="H666" s="141" t="s">
        <v>105</v>
      </c>
      <c r="I666" s="141" t="s">
        <v>247</v>
      </c>
      <c r="J666" s="159" t="s">
        <v>248</v>
      </c>
      <c r="K666" s="160">
        <v>0</v>
      </c>
      <c r="L666" s="141"/>
      <c r="M666" s="161">
        <v>68531.92</v>
      </c>
      <c r="N666" s="161">
        <v>0</v>
      </c>
      <c r="O666" s="161">
        <v>0</v>
      </c>
      <c r="P666" s="161">
        <v>0</v>
      </c>
      <c r="Q666" s="104">
        <f t="shared" si="42"/>
        <v>68531.92</v>
      </c>
      <c r="R666" s="104"/>
      <c r="S666" s="66">
        <f t="shared" si="43"/>
        <v>7819.492072</v>
      </c>
    </row>
    <row r="667" spans="1:19" ht="15" x14ac:dyDescent="0.25">
      <c r="A667" s="141" t="s">
        <v>148</v>
      </c>
      <c r="B667" s="141" t="s">
        <v>324</v>
      </c>
      <c r="C667" s="141" t="s">
        <v>68</v>
      </c>
      <c r="D667" s="142" t="s">
        <v>241</v>
      </c>
      <c r="E667" s="158" t="s">
        <v>371</v>
      </c>
      <c r="F667" s="142" t="s">
        <v>142</v>
      </c>
      <c r="G667" s="141">
        <v>101002</v>
      </c>
      <c r="H667" s="141" t="s">
        <v>105</v>
      </c>
      <c r="I667" s="141" t="s">
        <v>247</v>
      </c>
      <c r="J667" s="159" t="s">
        <v>286</v>
      </c>
      <c r="K667" s="160">
        <v>0</v>
      </c>
      <c r="L667" s="141"/>
      <c r="M667" s="161">
        <v>39100.17</v>
      </c>
      <c r="N667" s="161">
        <v>0</v>
      </c>
      <c r="O667" s="161">
        <v>0</v>
      </c>
      <c r="P667" s="161">
        <v>0</v>
      </c>
      <c r="Q667" s="104">
        <f t="shared" si="42"/>
        <v>39100.17</v>
      </c>
      <c r="R667" s="104"/>
      <c r="S667" s="66">
        <f t="shared" si="43"/>
        <v>4461.3293969999995</v>
      </c>
    </row>
    <row r="668" spans="1:19" ht="15" x14ac:dyDescent="0.25">
      <c r="A668" s="141" t="s">
        <v>148</v>
      </c>
      <c r="B668" s="141" t="s">
        <v>324</v>
      </c>
      <c r="C668" s="141" t="s">
        <v>68</v>
      </c>
      <c r="D668" s="142" t="s">
        <v>241</v>
      </c>
      <c r="E668" s="158" t="s">
        <v>371</v>
      </c>
      <c r="F668" s="142" t="s">
        <v>142</v>
      </c>
      <c r="G668" s="141">
        <v>101039</v>
      </c>
      <c r="H668" s="141" t="s">
        <v>107</v>
      </c>
      <c r="I668" s="141" t="s">
        <v>247</v>
      </c>
      <c r="J668" s="159" t="s">
        <v>248</v>
      </c>
      <c r="K668" s="160">
        <v>0</v>
      </c>
      <c r="L668" s="141"/>
      <c r="M668" s="161">
        <v>91587.26</v>
      </c>
      <c r="N668" s="161">
        <v>0</v>
      </c>
      <c r="O668" s="161">
        <v>0</v>
      </c>
      <c r="P668" s="161">
        <v>0</v>
      </c>
      <c r="Q668" s="104">
        <f t="shared" si="42"/>
        <v>91587.26</v>
      </c>
      <c r="R668" s="104"/>
      <c r="S668" s="66">
        <f t="shared" si="43"/>
        <v>10450.106366</v>
      </c>
    </row>
    <row r="669" spans="1:19" ht="15" x14ac:dyDescent="0.25">
      <c r="A669" s="141" t="s">
        <v>148</v>
      </c>
      <c r="B669" s="141" t="s">
        <v>324</v>
      </c>
      <c r="C669" s="141" t="s">
        <v>68</v>
      </c>
      <c r="D669" s="142" t="s">
        <v>241</v>
      </c>
      <c r="E669" s="158" t="s">
        <v>371</v>
      </c>
      <c r="F669" s="142" t="s">
        <v>142</v>
      </c>
      <c r="G669" s="141">
        <v>102002</v>
      </c>
      <c r="H669" s="141" t="s">
        <v>108</v>
      </c>
      <c r="I669" s="141" t="s">
        <v>247</v>
      </c>
      <c r="J669" s="159" t="s">
        <v>248</v>
      </c>
      <c r="K669" s="160">
        <v>0</v>
      </c>
      <c r="L669" s="141"/>
      <c r="M669" s="161">
        <v>23303.98</v>
      </c>
      <c r="N669" s="161">
        <v>0</v>
      </c>
      <c r="O669" s="161">
        <v>0</v>
      </c>
      <c r="P669" s="161">
        <v>0</v>
      </c>
      <c r="Q669" s="104">
        <f t="shared" si="42"/>
        <v>23303.98</v>
      </c>
      <c r="R669" s="104"/>
      <c r="S669" s="66">
        <f t="shared" si="43"/>
        <v>2658.9841180000003</v>
      </c>
    </row>
    <row r="670" spans="1:19" ht="15" x14ac:dyDescent="0.25">
      <c r="A670" s="141" t="s">
        <v>148</v>
      </c>
      <c r="B670" s="141" t="s">
        <v>324</v>
      </c>
      <c r="C670" s="141" t="s">
        <v>68</v>
      </c>
      <c r="D670" s="142" t="s">
        <v>241</v>
      </c>
      <c r="E670" s="158" t="s">
        <v>371</v>
      </c>
      <c r="F670" s="142" t="s">
        <v>142</v>
      </c>
      <c r="G670" s="141">
        <v>102002</v>
      </c>
      <c r="H670" s="141" t="s">
        <v>108</v>
      </c>
      <c r="I670" s="141" t="s">
        <v>247</v>
      </c>
      <c r="J670" s="159" t="s">
        <v>286</v>
      </c>
      <c r="K670" s="160">
        <v>0</v>
      </c>
      <c r="L670" s="141"/>
      <c r="M670" s="161">
        <v>3782.41</v>
      </c>
      <c r="N670" s="161">
        <v>0</v>
      </c>
      <c r="O670" s="161">
        <v>0</v>
      </c>
      <c r="P670" s="161">
        <v>0</v>
      </c>
      <c r="Q670" s="104">
        <f t="shared" si="42"/>
        <v>3782.41</v>
      </c>
      <c r="R670" s="104"/>
      <c r="S670" s="66">
        <f t="shared" si="43"/>
        <v>431.57298099999997</v>
      </c>
    </row>
    <row r="671" spans="1:19" ht="15" x14ac:dyDescent="0.25">
      <c r="A671" s="141" t="s">
        <v>148</v>
      </c>
      <c r="B671" s="141" t="s">
        <v>324</v>
      </c>
      <c r="C671" s="141" t="s">
        <v>68</v>
      </c>
      <c r="D671" s="142" t="s">
        <v>241</v>
      </c>
      <c r="E671" s="158" t="s">
        <v>371</v>
      </c>
      <c r="F671" s="142" t="s">
        <v>142</v>
      </c>
      <c r="G671" s="141">
        <v>102003</v>
      </c>
      <c r="H671" s="141" t="s">
        <v>106</v>
      </c>
      <c r="I671" s="141" t="s">
        <v>247</v>
      </c>
      <c r="J671" s="159" t="s">
        <v>248</v>
      </c>
      <c r="K671" s="160">
        <v>0</v>
      </c>
      <c r="L671" s="141"/>
      <c r="M671" s="161">
        <v>235044.34</v>
      </c>
      <c r="N671" s="161">
        <v>104000</v>
      </c>
      <c r="O671" s="161">
        <v>39000</v>
      </c>
      <c r="P671" s="161">
        <v>143000</v>
      </c>
      <c r="Q671" s="104">
        <f t="shared" si="42"/>
        <v>92044.34</v>
      </c>
      <c r="R671" s="104"/>
      <c r="S671" s="66">
        <f t="shared" si="43"/>
        <v>26818.559194000001</v>
      </c>
    </row>
    <row r="672" spans="1:19" ht="15" x14ac:dyDescent="0.25">
      <c r="A672" s="141" t="s">
        <v>148</v>
      </c>
      <c r="B672" s="141" t="s">
        <v>324</v>
      </c>
      <c r="C672" s="141" t="s">
        <v>68</v>
      </c>
      <c r="D672" s="142" t="s">
        <v>241</v>
      </c>
      <c r="E672" s="158" t="s">
        <v>371</v>
      </c>
      <c r="F672" s="142" t="s">
        <v>142</v>
      </c>
      <c r="G672" s="141">
        <v>102003</v>
      </c>
      <c r="H672" s="141" t="s">
        <v>106</v>
      </c>
      <c r="I672" s="141" t="s">
        <v>247</v>
      </c>
      <c r="J672" s="159" t="s">
        <v>286</v>
      </c>
      <c r="K672" s="160">
        <v>0</v>
      </c>
      <c r="L672" s="141"/>
      <c r="M672" s="161">
        <v>2099.16</v>
      </c>
      <c r="N672" s="161">
        <v>0</v>
      </c>
      <c r="O672" s="161">
        <v>0</v>
      </c>
      <c r="P672" s="161">
        <v>0</v>
      </c>
      <c r="Q672" s="104">
        <f t="shared" si="42"/>
        <v>2099.16</v>
      </c>
      <c r="R672" s="104"/>
      <c r="S672" s="66">
        <f t="shared" si="43"/>
        <v>239.51415599999999</v>
      </c>
    </row>
    <row r="673" spans="1:19" ht="15" x14ac:dyDescent="0.25">
      <c r="A673" s="141" t="s">
        <v>148</v>
      </c>
      <c r="B673" s="141" t="s">
        <v>324</v>
      </c>
      <c r="C673" s="141" t="s">
        <v>68</v>
      </c>
      <c r="D673" s="142" t="s">
        <v>241</v>
      </c>
      <c r="E673" s="158" t="s">
        <v>371</v>
      </c>
      <c r="F673" s="142" t="s">
        <v>142</v>
      </c>
      <c r="G673" s="141">
        <v>102005</v>
      </c>
      <c r="H673" s="141" t="s">
        <v>112</v>
      </c>
      <c r="I673" s="141" t="s">
        <v>247</v>
      </c>
      <c r="J673" s="159" t="s">
        <v>248</v>
      </c>
      <c r="K673" s="160">
        <v>0</v>
      </c>
      <c r="L673" s="141"/>
      <c r="M673" s="161">
        <v>78492.710000000006</v>
      </c>
      <c r="N673" s="161">
        <v>0</v>
      </c>
      <c r="O673" s="161">
        <v>0</v>
      </c>
      <c r="P673" s="161">
        <v>0</v>
      </c>
      <c r="Q673" s="104">
        <f t="shared" si="42"/>
        <v>78492.710000000006</v>
      </c>
      <c r="R673" s="104"/>
      <c r="S673" s="66">
        <f t="shared" si="43"/>
        <v>8956.0182110000005</v>
      </c>
    </row>
    <row r="674" spans="1:19" ht="15" x14ac:dyDescent="0.25">
      <c r="A674" s="141" t="s">
        <v>148</v>
      </c>
      <c r="B674" s="141" t="s">
        <v>324</v>
      </c>
      <c r="C674" s="141" t="s">
        <v>68</v>
      </c>
      <c r="D674" s="142" t="s">
        <v>241</v>
      </c>
      <c r="E674" s="158" t="s">
        <v>371</v>
      </c>
      <c r="F674" s="142" t="s">
        <v>142</v>
      </c>
      <c r="G674" s="141">
        <v>102005</v>
      </c>
      <c r="H674" s="141" t="s">
        <v>112</v>
      </c>
      <c r="I674" s="141" t="s">
        <v>247</v>
      </c>
      <c r="J674" s="159" t="s">
        <v>363</v>
      </c>
      <c r="K674" s="160">
        <v>0</v>
      </c>
      <c r="L674" s="141"/>
      <c r="M674" s="161">
        <v>9179.11</v>
      </c>
      <c r="N674" s="161">
        <v>0</v>
      </c>
      <c r="O674" s="161">
        <v>14000</v>
      </c>
      <c r="P674" s="161">
        <v>14000</v>
      </c>
      <c r="Q674" s="104">
        <f t="shared" si="42"/>
        <v>-4820.8899999999994</v>
      </c>
      <c r="R674" s="104"/>
      <c r="S674" s="66">
        <f t="shared" si="43"/>
        <v>1047.3364510000001</v>
      </c>
    </row>
    <row r="675" spans="1:19" ht="15" x14ac:dyDescent="0.25">
      <c r="A675" s="141" t="s">
        <v>148</v>
      </c>
      <c r="B675" s="141" t="s">
        <v>324</v>
      </c>
      <c r="C675" s="141" t="s">
        <v>68</v>
      </c>
      <c r="D675" s="142" t="s">
        <v>241</v>
      </c>
      <c r="E675" s="158" t="s">
        <v>371</v>
      </c>
      <c r="F675" s="142" t="s">
        <v>142</v>
      </c>
      <c r="G675" s="141">
        <v>102062</v>
      </c>
      <c r="H675" s="141" t="s">
        <v>113</v>
      </c>
      <c r="I675" s="141" t="s">
        <v>247</v>
      </c>
      <c r="J675" s="159" t="s">
        <v>248</v>
      </c>
      <c r="K675" s="160">
        <v>0</v>
      </c>
      <c r="L675" s="141"/>
      <c r="M675" s="161">
        <v>3381.47</v>
      </c>
      <c r="N675" s="161">
        <v>0</v>
      </c>
      <c r="O675" s="161">
        <v>0</v>
      </c>
      <c r="P675" s="161">
        <v>0</v>
      </c>
      <c r="Q675" s="104">
        <f t="shared" si="42"/>
        <v>3381.47</v>
      </c>
      <c r="R675" s="104"/>
      <c r="S675" s="66">
        <f t="shared" si="43"/>
        <v>385.82572699999997</v>
      </c>
    </row>
    <row r="676" spans="1:19" ht="15" x14ac:dyDescent="0.25">
      <c r="A676" s="141" t="s">
        <v>148</v>
      </c>
      <c r="B676" s="141" t="s">
        <v>324</v>
      </c>
      <c r="C676" s="141" t="s">
        <v>68</v>
      </c>
      <c r="D676" s="142" t="s">
        <v>241</v>
      </c>
      <c r="E676" s="158" t="s">
        <v>371</v>
      </c>
      <c r="F676" s="142" t="s">
        <v>142</v>
      </c>
      <c r="G676" s="141">
        <v>103001</v>
      </c>
      <c r="H676" s="141" t="s">
        <v>109</v>
      </c>
      <c r="I676" s="141" t="s">
        <v>247</v>
      </c>
      <c r="J676" s="159" t="s">
        <v>248</v>
      </c>
      <c r="K676" s="160">
        <v>0</v>
      </c>
      <c r="L676" s="141"/>
      <c r="M676" s="161">
        <v>31964.5</v>
      </c>
      <c r="N676" s="161">
        <v>0</v>
      </c>
      <c r="O676" s="161">
        <v>36000</v>
      </c>
      <c r="P676" s="161">
        <v>36000</v>
      </c>
      <c r="Q676" s="104">
        <f t="shared" si="42"/>
        <v>-4035.5</v>
      </c>
      <c r="R676" s="104"/>
      <c r="S676" s="66">
        <f t="shared" si="43"/>
        <v>3647.1494500000003</v>
      </c>
    </row>
    <row r="677" spans="1:19" ht="15" x14ac:dyDescent="0.25">
      <c r="A677" s="141" t="s">
        <v>148</v>
      </c>
      <c r="B677" s="141" t="s">
        <v>324</v>
      </c>
      <c r="C677" s="141" t="s">
        <v>68</v>
      </c>
      <c r="D677" s="142" t="s">
        <v>241</v>
      </c>
      <c r="E677" s="158" t="s">
        <v>371</v>
      </c>
      <c r="F677" s="142" t="s">
        <v>142</v>
      </c>
      <c r="G677" s="141">
        <v>103001</v>
      </c>
      <c r="H677" s="141" t="s">
        <v>109</v>
      </c>
      <c r="I677" s="141" t="s">
        <v>247</v>
      </c>
      <c r="J677" s="159" t="s">
        <v>307</v>
      </c>
      <c r="K677" s="160">
        <v>0</v>
      </c>
      <c r="L677" s="141"/>
      <c r="M677" s="161">
        <v>832.11</v>
      </c>
      <c r="N677" s="161">
        <v>0</v>
      </c>
      <c r="O677" s="161">
        <v>0</v>
      </c>
      <c r="P677" s="161">
        <v>0</v>
      </c>
      <c r="Q677" s="104">
        <f t="shared" si="42"/>
        <v>832.11</v>
      </c>
      <c r="R677" s="104"/>
      <c r="S677" s="66">
        <f t="shared" si="43"/>
        <v>94.94375100000002</v>
      </c>
    </row>
    <row r="678" spans="1:19" ht="15" x14ac:dyDescent="0.25">
      <c r="A678" s="141" t="s">
        <v>148</v>
      </c>
      <c r="B678" s="141" t="s">
        <v>324</v>
      </c>
      <c r="C678" s="141" t="s">
        <v>68</v>
      </c>
      <c r="D678" s="142" t="s">
        <v>241</v>
      </c>
      <c r="E678" s="158" t="s">
        <v>371</v>
      </c>
      <c r="F678" s="142" t="s">
        <v>142</v>
      </c>
      <c r="G678" s="141">
        <v>103001</v>
      </c>
      <c r="H678" s="141" t="s">
        <v>109</v>
      </c>
      <c r="I678" s="141" t="s">
        <v>247</v>
      </c>
      <c r="J678" s="159" t="s">
        <v>286</v>
      </c>
      <c r="K678" s="160">
        <v>0</v>
      </c>
      <c r="L678" s="141"/>
      <c r="M678" s="161">
        <v>1889.25</v>
      </c>
      <c r="N678" s="161">
        <v>0</v>
      </c>
      <c r="O678" s="161">
        <v>0</v>
      </c>
      <c r="P678" s="161">
        <v>0</v>
      </c>
      <c r="Q678" s="104">
        <f t="shared" si="42"/>
        <v>1889.25</v>
      </c>
      <c r="R678" s="104"/>
      <c r="S678" s="66">
        <f t="shared" si="43"/>
        <v>215.56342500000002</v>
      </c>
    </row>
    <row r="679" spans="1:19" ht="15" x14ac:dyDescent="0.25">
      <c r="A679" s="141" t="s">
        <v>148</v>
      </c>
      <c r="B679" s="141" t="s">
        <v>324</v>
      </c>
      <c r="C679" s="141" t="s">
        <v>68</v>
      </c>
      <c r="D679" s="142" t="s">
        <v>241</v>
      </c>
      <c r="E679" s="158" t="s">
        <v>371</v>
      </c>
      <c r="F679" s="142" t="s">
        <v>142</v>
      </c>
      <c r="G679" s="141">
        <v>103001</v>
      </c>
      <c r="H679" s="141" t="s">
        <v>109</v>
      </c>
      <c r="I679" s="141" t="s">
        <v>247</v>
      </c>
      <c r="J679" s="159" t="s">
        <v>363</v>
      </c>
      <c r="K679" s="160">
        <v>0</v>
      </c>
      <c r="L679" s="141"/>
      <c r="M679" s="161">
        <v>2099.16</v>
      </c>
      <c r="N679" s="161">
        <v>0</v>
      </c>
      <c r="O679" s="161">
        <v>0</v>
      </c>
      <c r="P679" s="161">
        <v>0</v>
      </c>
      <c r="Q679" s="104">
        <f t="shared" si="42"/>
        <v>2099.16</v>
      </c>
      <c r="R679" s="104"/>
      <c r="S679" s="66">
        <f t="shared" si="43"/>
        <v>239.51415599999999</v>
      </c>
    </row>
    <row r="680" spans="1:19" ht="15" x14ac:dyDescent="0.25">
      <c r="A680" s="141" t="s">
        <v>148</v>
      </c>
      <c r="B680" s="141" t="s">
        <v>324</v>
      </c>
      <c r="C680" s="141" t="s">
        <v>68</v>
      </c>
      <c r="D680" s="142" t="s">
        <v>241</v>
      </c>
      <c r="E680" s="158" t="s">
        <v>371</v>
      </c>
      <c r="F680" s="142" t="s">
        <v>142</v>
      </c>
      <c r="G680" s="141">
        <v>103062</v>
      </c>
      <c r="H680" s="141" t="s">
        <v>114</v>
      </c>
      <c r="I680" s="141" t="s">
        <v>247</v>
      </c>
      <c r="J680" s="159" t="s">
        <v>248</v>
      </c>
      <c r="K680" s="160">
        <v>0</v>
      </c>
      <c r="L680" s="141"/>
      <c r="M680" s="161">
        <v>716.8</v>
      </c>
      <c r="N680" s="161">
        <v>0</v>
      </c>
      <c r="O680" s="161">
        <v>0</v>
      </c>
      <c r="P680" s="161">
        <v>0</v>
      </c>
      <c r="Q680" s="104">
        <f t="shared" si="42"/>
        <v>716.8</v>
      </c>
      <c r="R680" s="104"/>
      <c r="S680" s="66">
        <f t="shared" si="43"/>
        <v>81.786879999999996</v>
      </c>
    </row>
    <row r="681" spans="1:19" ht="15" x14ac:dyDescent="0.25">
      <c r="A681" s="141" t="s">
        <v>148</v>
      </c>
      <c r="B681" s="141" t="s">
        <v>324</v>
      </c>
      <c r="C681" s="141" t="s">
        <v>68</v>
      </c>
      <c r="D681" s="142" t="s">
        <v>241</v>
      </c>
      <c r="E681" s="158" t="s">
        <v>371</v>
      </c>
      <c r="F681" s="142" t="s">
        <v>142</v>
      </c>
      <c r="G681" s="141">
        <v>103069</v>
      </c>
      <c r="H681" s="141" t="s">
        <v>214</v>
      </c>
      <c r="I681" s="141" t="s">
        <v>247</v>
      </c>
      <c r="J681" s="159" t="s">
        <v>248</v>
      </c>
      <c r="K681" s="160">
        <v>0</v>
      </c>
      <c r="L681" s="141"/>
      <c r="M681" s="161">
        <v>9395.2800000000007</v>
      </c>
      <c r="N681" s="161">
        <v>0</v>
      </c>
      <c r="O681" s="161">
        <v>0</v>
      </c>
      <c r="P681" s="161">
        <v>0</v>
      </c>
      <c r="Q681" s="104">
        <f t="shared" si="42"/>
        <v>9395.2800000000007</v>
      </c>
      <c r="R681" s="104"/>
      <c r="S681" s="66">
        <f t="shared" si="43"/>
        <v>1072.0014480000002</v>
      </c>
    </row>
    <row r="682" spans="1:19" ht="15" x14ac:dyDescent="0.25">
      <c r="A682" s="141" t="s">
        <v>148</v>
      </c>
      <c r="B682" s="141" t="s">
        <v>324</v>
      </c>
      <c r="C682" s="141" t="s">
        <v>68</v>
      </c>
      <c r="D682" s="142" t="s">
        <v>241</v>
      </c>
      <c r="E682" s="158" t="s">
        <v>371</v>
      </c>
      <c r="F682" s="142" t="s">
        <v>142</v>
      </c>
      <c r="G682" s="141">
        <v>104000</v>
      </c>
      <c r="H682" s="141" t="s">
        <v>110</v>
      </c>
      <c r="I682" s="141" t="s">
        <v>247</v>
      </c>
      <c r="J682" s="159" t="s">
        <v>248</v>
      </c>
      <c r="K682" s="160">
        <v>0</v>
      </c>
      <c r="L682" s="141"/>
      <c r="M682" s="161">
        <v>77856.5</v>
      </c>
      <c r="N682" s="161">
        <v>40000</v>
      </c>
      <c r="O682" s="161">
        <v>18000</v>
      </c>
      <c r="P682" s="161">
        <v>58000</v>
      </c>
      <c r="Q682" s="104">
        <f t="shared" si="42"/>
        <v>19856.5</v>
      </c>
      <c r="R682" s="104"/>
      <c r="S682" s="66">
        <f t="shared" si="43"/>
        <v>8883.4266500000012</v>
      </c>
    </row>
    <row r="683" spans="1:19" ht="15" x14ac:dyDescent="0.25">
      <c r="A683" s="141" t="s">
        <v>148</v>
      </c>
      <c r="B683" s="141" t="s">
        <v>324</v>
      </c>
      <c r="C683" s="141" t="s">
        <v>68</v>
      </c>
      <c r="D683" s="142" t="s">
        <v>241</v>
      </c>
      <c r="E683" s="158" t="s">
        <v>371</v>
      </c>
      <c r="F683" s="142" t="s">
        <v>142</v>
      </c>
      <c r="G683" s="141">
        <v>104000</v>
      </c>
      <c r="H683" s="141" t="s">
        <v>110</v>
      </c>
      <c r="I683" s="141" t="s">
        <v>247</v>
      </c>
      <c r="J683" s="159" t="s">
        <v>307</v>
      </c>
      <c r="K683" s="160">
        <v>0</v>
      </c>
      <c r="L683" s="141"/>
      <c r="M683" s="161">
        <v>8210.5400000000009</v>
      </c>
      <c r="N683" s="161">
        <v>0</v>
      </c>
      <c r="O683" s="161">
        <v>0</v>
      </c>
      <c r="P683" s="161">
        <v>0</v>
      </c>
      <c r="Q683" s="104">
        <f t="shared" si="42"/>
        <v>8210.5400000000009</v>
      </c>
      <c r="R683" s="104"/>
      <c r="S683" s="66">
        <f t="shared" si="43"/>
        <v>936.82261400000016</v>
      </c>
    </row>
    <row r="684" spans="1:19" ht="15" x14ac:dyDescent="0.25">
      <c r="A684" s="141" t="s">
        <v>148</v>
      </c>
      <c r="B684" s="141" t="s">
        <v>324</v>
      </c>
      <c r="C684" s="141" t="s">
        <v>68</v>
      </c>
      <c r="D684" s="142" t="s">
        <v>241</v>
      </c>
      <c r="E684" s="158" t="s">
        <v>371</v>
      </c>
      <c r="F684" s="142" t="s">
        <v>142</v>
      </c>
      <c r="G684" s="141">
        <v>104000</v>
      </c>
      <c r="H684" s="141" t="s">
        <v>110</v>
      </c>
      <c r="I684" s="141" t="s">
        <v>247</v>
      </c>
      <c r="J684" s="159" t="s">
        <v>286</v>
      </c>
      <c r="K684" s="160">
        <v>0</v>
      </c>
      <c r="L684" s="141"/>
      <c r="M684" s="161">
        <v>33.380000000000003</v>
      </c>
      <c r="N684" s="161">
        <v>0</v>
      </c>
      <c r="O684" s="161">
        <v>0</v>
      </c>
      <c r="P684" s="161">
        <v>0</v>
      </c>
      <c r="Q684" s="104">
        <f t="shared" si="42"/>
        <v>33.380000000000003</v>
      </c>
      <c r="R684" s="104"/>
      <c r="S684" s="66">
        <f t="shared" si="43"/>
        <v>3.8086580000000008</v>
      </c>
    </row>
    <row r="685" spans="1:19" ht="15" x14ac:dyDescent="0.25">
      <c r="A685" s="141" t="s">
        <v>148</v>
      </c>
      <c r="B685" s="141" t="s">
        <v>324</v>
      </c>
      <c r="C685" s="141" t="s">
        <v>68</v>
      </c>
      <c r="D685" s="142" t="s">
        <v>241</v>
      </c>
      <c r="E685" s="158" t="s">
        <v>371</v>
      </c>
      <c r="F685" s="142" t="s">
        <v>142</v>
      </c>
      <c r="G685" s="141">
        <v>105003</v>
      </c>
      <c r="H685" s="141" t="s">
        <v>268</v>
      </c>
      <c r="I685" s="141" t="s">
        <v>247</v>
      </c>
      <c r="J685" s="159" t="s">
        <v>248</v>
      </c>
      <c r="K685" s="160">
        <v>0</v>
      </c>
      <c r="L685" s="141"/>
      <c r="M685" s="163">
        <v>209672.65</v>
      </c>
      <c r="N685" s="161">
        <v>0</v>
      </c>
      <c r="O685" s="161">
        <v>0</v>
      </c>
      <c r="P685" s="161">
        <v>0</v>
      </c>
      <c r="Q685" s="104">
        <f t="shared" si="42"/>
        <v>209672.65</v>
      </c>
      <c r="R685" s="104"/>
      <c r="S685" s="66">
        <f t="shared" si="43"/>
        <v>23923.649365000001</v>
      </c>
    </row>
    <row r="686" spans="1:19" ht="15" x14ac:dyDescent="0.25">
      <c r="A686" s="141" t="s">
        <v>148</v>
      </c>
      <c r="B686" s="141" t="s">
        <v>324</v>
      </c>
      <c r="C686" s="141" t="s">
        <v>68</v>
      </c>
      <c r="D686" s="142" t="s">
        <v>241</v>
      </c>
      <c r="E686" s="158" t="s">
        <v>371</v>
      </c>
      <c r="F686" s="142" t="s">
        <v>142</v>
      </c>
      <c r="G686" s="141">
        <v>105010</v>
      </c>
      <c r="H686" s="141" t="s">
        <v>118</v>
      </c>
      <c r="I686" s="141" t="s">
        <v>247</v>
      </c>
      <c r="J686" s="159" t="s">
        <v>248</v>
      </c>
      <c r="K686" s="160">
        <v>0</v>
      </c>
      <c r="L686" s="141"/>
      <c r="M686" s="161">
        <v>3351.33</v>
      </c>
      <c r="N686" s="161">
        <v>0</v>
      </c>
      <c r="O686" s="161">
        <v>0</v>
      </c>
      <c r="P686" s="161">
        <v>0</v>
      </c>
      <c r="Q686" s="104">
        <f t="shared" si="42"/>
        <v>3351.33</v>
      </c>
      <c r="R686" s="129"/>
      <c r="S686" s="66">
        <f t="shared" si="43"/>
        <v>382.38675300000006</v>
      </c>
    </row>
    <row r="687" spans="1:19" ht="15" x14ac:dyDescent="0.25">
      <c r="A687" s="141" t="s">
        <v>148</v>
      </c>
      <c r="B687" s="141" t="s">
        <v>324</v>
      </c>
      <c r="C687" s="141" t="s">
        <v>68</v>
      </c>
      <c r="D687" s="142" t="s">
        <v>241</v>
      </c>
      <c r="E687" s="158" t="s">
        <v>371</v>
      </c>
      <c r="F687" s="142" t="s">
        <v>142</v>
      </c>
      <c r="G687" s="141">
        <v>105019</v>
      </c>
      <c r="H687" s="141" t="s">
        <v>111</v>
      </c>
      <c r="I687" s="141" t="s">
        <v>247</v>
      </c>
      <c r="J687" s="159" t="s">
        <v>248</v>
      </c>
      <c r="K687" s="160">
        <v>0</v>
      </c>
      <c r="L687" s="141"/>
      <c r="M687" s="161">
        <v>871.9</v>
      </c>
      <c r="N687" s="161">
        <v>0</v>
      </c>
      <c r="O687" s="161">
        <v>0</v>
      </c>
      <c r="P687" s="161">
        <v>0</v>
      </c>
      <c r="Q687" s="104">
        <f t="shared" si="42"/>
        <v>871.9</v>
      </c>
      <c r="R687" s="129"/>
      <c r="S687" s="66">
        <f t="shared" si="43"/>
        <v>99.483789999999999</v>
      </c>
    </row>
    <row r="688" spans="1:19" ht="15" x14ac:dyDescent="0.25">
      <c r="A688" s="141" t="s">
        <v>148</v>
      </c>
      <c r="B688" s="141" t="s">
        <v>324</v>
      </c>
      <c r="C688" s="141" t="s">
        <v>68</v>
      </c>
      <c r="D688" s="142" t="s">
        <v>241</v>
      </c>
      <c r="E688" s="158" t="s">
        <v>371</v>
      </c>
      <c r="F688" s="142" t="s">
        <v>142</v>
      </c>
      <c r="G688" s="141">
        <v>105098</v>
      </c>
      <c r="H688" s="141" t="s">
        <v>265</v>
      </c>
      <c r="I688" s="141" t="s">
        <v>247</v>
      </c>
      <c r="J688" s="159" t="s">
        <v>302</v>
      </c>
      <c r="K688" s="160">
        <v>0</v>
      </c>
      <c r="L688" s="141"/>
      <c r="M688" s="161">
        <v>-4392</v>
      </c>
      <c r="N688" s="161">
        <v>0</v>
      </c>
      <c r="O688" s="161">
        <v>0</v>
      </c>
      <c r="P688" s="161">
        <v>0</v>
      </c>
      <c r="Q688" s="104">
        <f t="shared" si="42"/>
        <v>-4392</v>
      </c>
      <c r="R688" s="129"/>
      <c r="S688" s="66">
        <f t="shared" si="43"/>
        <v>-501.12720000000007</v>
      </c>
    </row>
    <row r="689" spans="1:19" ht="15" x14ac:dyDescent="0.25">
      <c r="A689" s="141" t="s">
        <v>148</v>
      </c>
      <c r="B689" s="141" t="s">
        <v>324</v>
      </c>
      <c r="C689" s="141" t="s">
        <v>68</v>
      </c>
      <c r="D689" s="142" t="s">
        <v>241</v>
      </c>
      <c r="E689" s="158" t="s">
        <v>371</v>
      </c>
      <c r="F689" s="142" t="s">
        <v>142</v>
      </c>
      <c r="G689" s="141">
        <v>105099</v>
      </c>
      <c r="H689" s="141" t="s">
        <v>103</v>
      </c>
      <c r="I689" s="141" t="s">
        <v>247</v>
      </c>
      <c r="J689" s="159" t="s">
        <v>303</v>
      </c>
      <c r="K689" s="160">
        <v>0</v>
      </c>
      <c r="L689" s="141"/>
      <c r="M689" s="161">
        <v>4392</v>
      </c>
      <c r="N689" s="161">
        <v>0</v>
      </c>
      <c r="O689" s="161">
        <v>0</v>
      </c>
      <c r="P689" s="161">
        <v>0</v>
      </c>
      <c r="Q689" s="104">
        <f t="shared" si="42"/>
        <v>4392</v>
      </c>
      <c r="R689" s="129"/>
      <c r="S689" s="66">
        <f t="shared" si="43"/>
        <v>501.12720000000007</v>
      </c>
    </row>
    <row r="690" spans="1:19" ht="15" x14ac:dyDescent="0.25">
      <c r="A690" s="141" t="s">
        <v>148</v>
      </c>
      <c r="B690" s="141" t="s">
        <v>324</v>
      </c>
      <c r="C690" s="141" t="s">
        <v>68</v>
      </c>
      <c r="D690" s="142" t="s">
        <v>241</v>
      </c>
      <c r="E690" s="158" t="s">
        <v>371</v>
      </c>
      <c r="F690" s="142" t="s">
        <v>142</v>
      </c>
      <c r="G690" s="144">
        <v>109001</v>
      </c>
      <c r="H690" s="141" t="s">
        <v>101</v>
      </c>
      <c r="I690" s="141" t="s">
        <v>247</v>
      </c>
      <c r="J690" s="159" t="s">
        <v>248</v>
      </c>
      <c r="K690" s="160">
        <v>0</v>
      </c>
      <c r="L690" s="141"/>
      <c r="M690" s="161">
        <v>492724.58</v>
      </c>
      <c r="N690" s="161">
        <v>447000</v>
      </c>
      <c r="O690" s="161">
        <v>22000</v>
      </c>
      <c r="P690" s="161">
        <v>469000</v>
      </c>
      <c r="Q690" s="104">
        <f t="shared" si="42"/>
        <v>23724.580000000016</v>
      </c>
      <c r="R690" s="129">
        <f t="shared" ref="R690:R693" si="45">M690*-1.141</f>
        <v>-562198.74578</v>
      </c>
    </row>
    <row r="691" spans="1:19" ht="15" x14ac:dyDescent="0.25">
      <c r="A691" s="141" t="s">
        <v>148</v>
      </c>
      <c r="B691" s="141" t="s">
        <v>324</v>
      </c>
      <c r="C691" s="141" t="s">
        <v>68</v>
      </c>
      <c r="D691" s="142" t="s">
        <v>241</v>
      </c>
      <c r="E691" s="158" t="s">
        <v>371</v>
      </c>
      <c r="F691" s="142" t="s">
        <v>142</v>
      </c>
      <c r="G691" s="144">
        <v>109001</v>
      </c>
      <c r="H691" s="141" t="s">
        <v>101</v>
      </c>
      <c r="I691" s="141" t="s">
        <v>247</v>
      </c>
      <c r="J691" s="159" t="s">
        <v>307</v>
      </c>
      <c r="K691" s="160">
        <v>0</v>
      </c>
      <c r="L691" s="141"/>
      <c r="M691" s="161">
        <v>63.94</v>
      </c>
      <c r="N691" s="161">
        <v>0</v>
      </c>
      <c r="O691" s="161">
        <v>0</v>
      </c>
      <c r="P691" s="161">
        <v>0</v>
      </c>
      <c r="Q691" s="104">
        <f t="shared" si="42"/>
        <v>63.94</v>
      </c>
      <c r="R691" s="129">
        <f t="shared" si="45"/>
        <v>-72.955539999999999</v>
      </c>
    </row>
    <row r="692" spans="1:19" ht="15" x14ac:dyDescent="0.25">
      <c r="A692" s="141" t="s">
        <v>148</v>
      </c>
      <c r="B692" s="141" t="s">
        <v>324</v>
      </c>
      <c r="C692" s="141" t="s">
        <v>68</v>
      </c>
      <c r="D692" s="142" t="s">
        <v>241</v>
      </c>
      <c r="E692" s="158" t="s">
        <v>371</v>
      </c>
      <c r="F692" s="142" t="s">
        <v>142</v>
      </c>
      <c r="G692" s="144">
        <v>109001</v>
      </c>
      <c r="H692" s="141" t="s">
        <v>101</v>
      </c>
      <c r="I692" s="141" t="s">
        <v>247</v>
      </c>
      <c r="J692" s="159" t="s">
        <v>286</v>
      </c>
      <c r="K692" s="160">
        <v>0</v>
      </c>
      <c r="L692" s="141"/>
      <c r="M692" s="161">
        <v>4441.3500000000004</v>
      </c>
      <c r="N692" s="161">
        <v>0</v>
      </c>
      <c r="O692" s="161">
        <v>0</v>
      </c>
      <c r="P692" s="161">
        <v>0</v>
      </c>
      <c r="Q692" s="104">
        <f t="shared" si="42"/>
        <v>4441.3500000000004</v>
      </c>
      <c r="R692" s="129">
        <f t="shared" si="45"/>
        <v>-5067.5803500000002</v>
      </c>
    </row>
    <row r="693" spans="1:19" ht="15" x14ac:dyDescent="0.25">
      <c r="A693" s="141" t="s">
        <v>148</v>
      </c>
      <c r="B693" s="141" t="s">
        <v>324</v>
      </c>
      <c r="C693" s="141" t="s">
        <v>68</v>
      </c>
      <c r="D693" s="142" t="s">
        <v>241</v>
      </c>
      <c r="E693" s="158" t="s">
        <v>371</v>
      </c>
      <c r="F693" s="142" t="s">
        <v>142</v>
      </c>
      <c r="G693" s="144">
        <v>109001</v>
      </c>
      <c r="H693" s="141" t="s">
        <v>101</v>
      </c>
      <c r="I693" s="141" t="s">
        <v>247</v>
      </c>
      <c r="J693" s="159" t="s">
        <v>363</v>
      </c>
      <c r="K693" s="160">
        <v>0</v>
      </c>
      <c r="L693" s="141"/>
      <c r="M693" s="161">
        <v>1068.7</v>
      </c>
      <c r="N693" s="161">
        <v>0</v>
      </c>
      <c r="O693" s="161">
        <v>0</v>
      </c>
      <c r="P693" s="161">
        <v>0</v>
      </c>
      <c r="Q693" s="104">
        <f t="shared" si="42"/>
        <v>1068.7</v>
      </c>
      <c r="R693" s="129">
        <f t="shared" si="45"/>
        <v>-1219.3867</v>
      </c>
    </row>
    <row r="694" spans="1:19" ht="15" x14ac:dyDescent="0.25">
      <c r="A694" s="141" t="s">
        <v>148</v>
      </c>
      <c r="B694" s="141" t="s">
        <v>324</v>
      </c>
      <c r="C694" s="141" t="s">
        <v>68</v>
      </c>
      <c r="D694" s="142" t="s">
        <v>241</v>
      </c>
      <c r="E694" s="158" t="s">
        <v>371</v>
      </c>
      <c r="F694" s="142" t="s">
        <v>142</v>
      </c>
      <c r="G694" s="144">
        <v>109901</v>
      </c>
      <c r="H694" s="141" t="s">
        <v>102</v>
      </c>
      <c r="I694" s="141" t="s">
        <v>247</v>
      </c>
      <c r="J694" s="159" t="s">
        <v>248</v>
      </c>
      <c r="K694" s="160">
        <v>0</v>
      </c>
      <c r="L694" s="141"/>
      <c r="M694" s="161">
        <v>800098.46</v>
      </c>
      <c r="N694" s="161">
        <v>733000</v>
      </c>
      <c r="O694" s="161">
        <v>40000</v>
      </c>
      <c r="P694" s="161">
        <v>773000</v>
      </c>
      <c r="Q694" s="104">
        <f t="shared" si="42"/>
        <v>27098.459999999963</v>
      </c>
      <c r="R694" s="129"/>
    </row>
    <row r="695" spans="1:19" ht="15" x14ac:dyDescent="0.25">
      <c r="A695" s="141" t="s">
        <v>148</v>
      </c>
      <c r="B695" s="141" t="s">
        <v>324</v>
      </c>
      <c r="C695" s="141" t="s">
        <v>68</v>
      </c>
      <c r="D695" s="142" t="s">
        <v>241</v>
      </c>
      <c r="E695" s="158" t="s">
        <v>371</v>
      </c>
      <c r="F695" s="142" t="s">
        <v>142</v>
      </c>
      <c r="G695" s="144">
        <v>109901</v>
      </c>
      <c r="H695" s="141" t="s">
        <v>102</v>
      </c>
      <c r="I695" s="141" t="s">
        <v>247</v>
      </c>
      <c r="J695" s="159" t="s">
        <v>303</v>
      </c>
      <c r="K695" s="160">
        <v>0</v>
      </c>
      <c r="L695" s="141"/>
      <c r="M695" s="161">
        <v>619.32000000000005</v>
      </c>
      <c r="N695" s="161">
        <v>0</v>
      </c>
      <c r="O695" s="161">
        <v>0</v>
      </c>
      <c r="P695" s="161">
        <v>0</v>
      </c>
      <c r="Q695" s="104">
        <f t="shared" si="42"/>
        <v>619.32000000000005</v>
      </c>
      <c r="R695" s="129"/>
    </row>
    <row r="696" spans="1:19" ht="15" x14ac:dyDescent="0.25">
      <c r="A696" s="141" t="s">
        <v>148</v>
      </c>
      <c r="B696" s="141" t="s">
        <v>324</v>
      </c>
      <c r="C696" s="141" t="s">
        <v>68</v>
      </c>
      <c r="D696" s="142" t="s">
        <v>241</v>
      </c>
      <c r="E696" s="158" t="s">
        <v>371</v>
      </c>
      <c r="F696" s="142" t="s">
        <v>142</v>
      </c>
      <c r="G696" s="144">
        <v>109901</v>
      </c>
      <c r="H696" s="141" t="s">
        <v>102</v>
      </c>
      <c r="I696" s="141" t="s">
        <v>247</v>
      </c>
      <c r="J696" s="159" t="s">
        <v>307</v>
      </c>
      <c r="K696" s="160">
        <v>0</v>
      </c>
      <c r="L696" s="141"/>
      <c r="M696" s="161">
        <v>1284.04</v>
      </c>
      <c r="N696" s="161">
        <v>0</v>
      </c>
      <c r="O696" s="161">
        <v>0</v>
      </c>
      <c r="P696" s="161">
        <v>0</v>
      </c>
      <c r="Q696" s="104">
        <f t="shared" si="42"/>
        <v>1284.04</v>
      </c>
      <c r="R696" s="129"/>
    </row>
    <row r="697" spans="1:19" ht="15" x14ac:dyDescent="0.25">
      <c r="A697" s="141" t="s">
        <v>148</v>
      </c>
      <c r="B697" s="141" t="s">
        <v>324</v>
      </c>
      <c r="C697" s="141" t="s">
        <v>68</v>
      </c>
      <c r="D697" s="142" t="s">
        <v>241</v>
      </c>
      <c r="E697" s="158" t="s">
        <v>371</v>
      </c>
      <c r="F697" s="142" t="s">
        <v>142</v>
      </c>
      <c r="G697" s="144">
        <v>109901</v>
      </c>
      <c r="H697" s="141" t="s">
        <v>102</v>
      </c>
      <c r="I697" s="141" t="s">
        <v>247</v>
      </c>
      <c r="J697" s="159" t="s">
        <v>286</v>
      </c>
      <c r="K697" s="160">
        <v>0</v>
      </c>
      <c r="L697" s="141"/>
      <c r="M697" s="161">
        <v>7239.76</v>
      </c>
      <c r="N697" s="161">
        <v>0</v>
      </c>
      <c r="O697" s="161">
        <v>0</v>
      </c>
      <c r="P697" s="161">
        <v>0</v>
      </c>
      <c r="Q697" s="104">
        <f t="shared" si="42"/>
        <v>7239.76</v>
      </c>
      <c r="R697" s="104"/>
    </row>
    <row r="698" spans="1:19" ht="15" x14ac:dyDescent="0.25">
      <c r="A698" s="141" t="s">
        <v>148</v>
      </c>
      <c r="B698" s="141" t="s">
        <v>324</v>
      </c>
      <c r="C698" s="141" t="s">
        <v>68</v>
      </c>
      <c r="D698" s="142" t="s">
        <v>241</v>
      </c>
      <c r="E698" s="158" t="s">
        <v>371</v>
      </c>
      <c r="F698" s="142" t="s">
        <v>142</v>
      </c>
      <c r="G698" s="144">
        <v>109901</v>
      </c>
      <c r="H698" s="141" t="s">
        <v>102</v>
      </c>
      <c r="I698" s="141" t="s">
        <v>247</v>
      </c>
      <c r="J698" s="159" t="s">
        <v>363</v>
      </c>
      <c r="K698" s="160">
        <v>0</v>
      </c>
      <c r="L698" s="141"/>
      <c r="M698" s="161">
        <v>1740.92</v>
      </c>
      <c r="N698" s="161">
        <v>0</v>
      </c>
      <c r="O698" s="161">
        <v>0</v>
      </c>
      <c r="P698" s="161">
        <v>0</v>
      </c>
      <c r="Q698" s="104">
        <f t="shared" si="42"/>
        <v>1740.92</v>
      </c>
      <c r="R698" s="104"/>
    </row>
    <row r="699" spans="1:19" ht="15" hidden="1" x14ac:dyDescent="0.25">
      <c r="A699" s="141" t="s">
        <v>148</v>
      </c>
      <c r="B699" s="166" t="s">
        <v>325</v>
      </c>
      <c r="C699" s="141" t="s">
        <v>215</v>
      </c>
      <c r="D699" s="142" t="s">
        <v>241</v>
      </c>
      <c r="E699" s="158" t="s">
        <v>371</v>
      </c>
      <c r="F699" s="142" t="s">
        <v>142</v>
      </c>
      <c r="G699" s="141">
        <v>101001</v>
      </c>
      <c r="H699" s="141" t="s">
        <v>104</v>
      </c>
      <c r="I699" s="141" t="s">
        <v>247</v>
      </c>
      <c r="J699" s="159" t="s">
        <v>248</v>
      </c>
      <c r="K699" s="160">
        <v>0</v>
      </c>
      <c r="L699" s="141"/>
      <c r="M699" s="161">
        <v>859690.53</v>
      </c>
      <c r="N699" s="161">
        <v>1411000</v>
      </c>
      <c r="O699" s="161">
        <v>57000</v>
      </c>
      <c r="P699" s="161">
        <v>1468000</v>
      </c>
      <c r="Q699" s="104">
        <f t="shared" si="42"/>
        <v>-608309.47</v>
      </c>
      <c r="R699" s="104"/>
      <c r="S699" s="66">
        <f t="shared" si="43"/>
        <v>98090.68947300002</v>
      </c>
    </row>
    <row r="700" spans="1:19" ht="15" hidden="1" x14ac:dyDescent="0.25">
      <c r="A700" s="141" t="s">
        <v>148</v>
      </c>
      <c r="B700" s="166" t="s">
        <v>325</v>
      </c>
      <c r="C700" s="141" t="s">
        <v>215</v>
      </c>
      <c r="D700" s="142" t="s">
        <v>241</v>
      </c>
      <c r="E700" s="158" t="s">
        <v>371</v>
      </c>
      <c r="F700" s="142" t="s">
        <v>142</v>
      </c>
      <c r="G700" s="141">
        <v>101039</v>
      </c>
      <c r="H700" s="141" t="s">
        <v>107</v>
      </c>
      <c r="I700" s="141" t="s">
        <v>247</v>
      </c>
      <c r="J700" s="159" t="s">
        <v>248</v>
      </c>
      <c r="K700" s="160">
        <v>0</v>
      </c>
      <c r="L700" s="141"/>
      <c r="M700" s="161">
        <v>17209.27</v>
      </c>
      <c r="N700" s="161">
        <v>0</v>
      </c>
      <c r="O700" s="161">
        <v>0</v>
      </c>
      <c r="P700" s="161">
        <v>0</v>
      </c>
      <c r="Q700" s="104">
        <f t="shared" si="42"/>
        <v>17209.27</v>
      </c>
      <c r="R700" s="104"/>
      <c r="S700" s="66">
        <f t="shared" si="43"/>
        <v>1963.5777070000001</v>
      </c>
    </row>
    <row r="701" spans="1:19" ht="15" hidden="1" x14ac:dyDescent="0.25">
      <c r="A701" s="141" t="s">
        <v>148</v>
      </c>
      <c r="B701" s="166" t="s">
        <v>325</v>
      </c>
      <c r="C701" s="141" t="s">
        <v>215</v>
      </c>
      <c r="D701" s="142" t="s">
        <v>241</v>
      </c>
      <c r="E701" s="158" t="s">
        <v>371</v>
      </c>
      <c r="F701" s="142" t="s">
        <v>142</v>
      </c>
      <c r="G701" s="141">
        <v>102003</v>
      </c>
      <c r="H701" s="141" t="s">
        <v>106</v>
      </c>
      <c r="I701" s="141" t="s">
        <v>247</v>
      </c>
      <c r="J701" s="159" t="s">
        <v>248</v>
      </c>
      <c r="K701" s="160">
        <v>0</v>
      </c>
      <c r="L701" s="141"/>
      <c r="M701" s="161">
        <v>0</v>
      </c>
      <c r="N701" s="161">
        <v>30000</v>
      </c>
      <c r="O701" s="161">
        <v>6000</v>
      </c>
      <c r="P701" s="161">
        <v>36000</v>
      </c>
      <c r="Q701" s="104">
        <f t="shared" si="42"/>
        <v>-36000</v>
      </c>
      <c r="R701" s="104"/>
      <c r="S701" s="66">
        <f t="shared" si="43"/>
        <v>0</v>
      </c>
    </row>
    <row r="702" spans="1:19" ht="15" hidden="1" x14ac:dyDescent="0.25">
      <c r="A702" s="141" t="s">
        <v>148</v>
      </c>
      <c r="B702" s="166" t="s">
        <v>325</v>
      </c>
      <c r="C702" s="141" t="s">
        <v>215</v>
      </c>
      <c r="D702" s="142" t="s">
        <v>241</v>
      </c>
      <c r="E702" s="158" t="s">
        <v>371</v>
      </c>
      <c r="F702" s="142" t="s">
        <v>142</v>
      </c>
      <c r="G702" s="141">
        <v>102062</v>
      </c>
      <c r="H702" s="141" t="s">
        <v>113</v>
      </c>
      <c r="I702" s="141" t="s">
        <v>247</v>
      </c>
      <c r="J702" s="159" t="s">
        <v>248</v>
      </c>
      <c r="K702" s="160">
        <v>0</v>
      </c>
      <c r="L702" s="141"/>
      <c r="M702" s="161">
        <v>215.04</v>
      </c>
      <c r="N702" s="161">
        <v>0</v>
      </c>
      <c r="O702" s="161">
        <v>0</v>
      </c>
      <c r="P702" s="161">
        <v>0</v>
      </c>
      <c r="Q702" s="104">
        <f t="shared" si="42"/>
        <v>215.04</v>
      </c>
      <c r="R702" s="104"/>
      <c r="S702" s="66">
        <f t="shared" si="43"/>
        <v>24.536064000000003</v>
      </c>
    </row>
    <row r="703" spans="1:19" ht="15" hidden="1" x14ac:dyDescent="0.25">
      <c r="A703" s="141" t="s">
        <v>148</v>
      </c>
      <c r="B703" s="166" t="s">
        <v>325</v>
      </c>
      <c r="C703" s="141" t="s">
        <v>215</v>
      </c>
      <c r="D703" s="142" t="s">
        <v>241</v>
      </c>
      <c r="E703" s="158" t="s">
        <v>371</v>
      </c>
      <c r="F703" s="142" t="s">
        <v>142</v>
      </c>
      <c r="G703" s="141">
        <v>103069</v>
      </c>
      <c r="H703" s="141" t="s">
        <v>214</v>
      </c>
      <c r="I703" s="141" t="s">
        <v>247</v>
      </c>
      <c r="J703" s="159" t="s">
        <v>248</v>
      </c>
      <c r="K703" s="160">
        <v>0</v>
      </c>
      <c r="L703" s="141"/>
      <c r="M703" s="161">
        <v>1021.34</v>
      </c>
      <c r="N703" s="161">
        <v>0</v>
      </c>
      <c r="O703" s="161">
        <v>0</v>
      </c>
      <c r="P703" s="161">
        <v>0</v>
      </c>
      <c r="Q703" s="104">
        <f t="shared" si="42"/>
        <v>1021.34</v>
      </c>
      <c r="R703" s="104"/>
      <c r="S703" s="66">
        <f t="shared" si="43"/>
        <v>116.53489400000002</v>
      </c>
    </row>
    <row r="704" spans="1:19" ht="15" hidden="1" x14ac:dyDescent="0.25">
      <c r="A704" s="141" t="s">
        <v>148</v>
      </c>
      <c r="B704" s="166" t="s">
        <v>325</v>
      </c>
      <c r="C704" s="141" t="s">
        <v>215</v>
      </c>
      <c r="D704" s="142" t="s">
        <v>241</v>
      </c>
      <c r="E704" s="158" t="s">
        <v>371</v>
      </c>
      <c r="F704" s="142" t="s">
        <v>142</v>
      </c>
      <c r="G704" s="141">
        <v>104000</v>
      </c>
      <c r="H704" s="141" t="s">
        <v>110</v>
      </c>
      <c r="I704" s="141" t="s">
        <v>247</v>
      </c>
      <c r="J704" s="159" t="s">
        <v>248</v>
      </c>
      <c r="K704" s="160">
        <v>0</v>
      </c>
      <c r="L704" s="141"/>
      <c r="M704" s="161">
        <v>1797.91</v>
      </c>
      <c r="N704" s="161">
        <v>15000</v>
      </c>
      <c r="O704" s="161">
        <v>0</v>
      </c>
      <c r="P704" s="161">
        <v>15000</v>
      </c>
      <c r="Q704" s="104">
        <f t="shared" si="42"/>
        <v>-13202.09</v>
      </c>
      <c r="R704" s="104"/>
      <c r="S704" s="66">
        <f t="shared" si="43"/>
        <v>205.14153100000004</v>
      </c>
    </row>
    <row r="705" spans="1:19" ht="15" hidden="1" x14ac:dyDescent="0.25">
      <c r="A705" s="141" t="s">
        <v>148</v>
      </c>
      <c r="B705" s="166" t="s">
        <v>325</v>
      </c>
      <c r="C705" s="141" t="s">
        <v>215</v>
      </c>
      <c r="D705" s="142" t="s">
        <v>241</v>
      </c>
      <c r="E705" s="158" t="s">
        <v>371</v>
      </c>
      <c r="F705" s="142" t="s">
        <v>142</v>
      </c>
      <c r="G705" s="141">
        <v>105098</v>
      </c>
      <c r="H705" s="141" t="s">
        <v>265</v>
      </c>
      <c r="I705" s="141" t="s">
        <v>247</v>
      </c>
      <c r="J705" s="159" t="s">
        <v>302</v>
      </c>
      <c r="K705" s="160">
        <v>0</v>
      </c>
      <c r="L705" s="141"/>
      <c r="M705" s="161">
        <v>-4392</v>
      </c>
      <c r="N705" s="161">
        <v>0</v>
      </c>
      <c r="O705" s="161">
        <v>0</v>
      </c>
      <c r="P705" s="161">
        <v>0</v>
      </c>
      <c r="Q705" s="104">
        <f t="shared" si="42"/>
        <v>-4392</v>
      </c>
      <c r="R705" s="104"/>
      <c r="S705" s="66">
        <f t="shared" si="43"/>
        <v>-501.12720000000007</v>
      </c>
    </row>
    <row r="706" spans="1:19" ht="15" hidden="1" x14ac:dyDescent="0.25">
      <c r="A706" s="141" t="s">
        <v>148</v>
      </c>
      <c r="B706" s="166" t="s">
        <v>325</v>
      </c>
      <c r="C706" s="141" t="s">
        <v>215</v>
      </c>
      <c r="D706" s="142" t="s">
        <v>241</v>
      </c>
      <c r="E706" s="158" t="s">
        <v>371</v>
      </c>
      <c r="F706" s="142" t="s">
        <v>142</v>
      </c>
      <c r="G706" s="141">
        <v>105099</v>
      </c>
      <c r="H706" s="141" t="s">
        <v>103</v>
      </c>
      <c r="I706" s="141" t="s">
        <v>247</v>
      </c>
      <c r="J706" s="159" t="s">
        <v>303</v>
      </c>
      <c r="K706" s="160">
        <v>0</v>
      </c>
      <c r="L706" s="141"/>
      <c r="M706" s="161">
        <v>4392</v>
      </c>
      <c r="N706" s="161">
        <v>0</v>
      </c>
      <c r="O706" s="161">
        <v>0</v>
      </c>
      <c r="P706" s="161">
        <v>0</v>
      </c>
      <c r="Q706" s="104">
        <f t="shared" si="42"/>
        <v>4392</v>
      </c>
      <c r="R706" s="104"/>
      <c r="S706" s="66">
        <f t="shared" si="43"/>
        <v>501.12720000000007</v>
      </c>
    </row>
    <row r="707" spans="1:19" ht="15" hidden="1" x14ac:dyDescent="0.25">
      <c r="A707" s="141" t="s">
        <v>148</v>
      </c>
      <c r="B707" s="166" t="s">
        <v>325</v>
      </c>
      <c r="C707" s="141" t="s">
        <v>215</v>
      </c>
      <c r="D707" s="142" t="s">
        <v>241</v>
      </c>
      <c r="E707" s="158" t="s">
        <v>371</v>
      </c>
      <c r="F707" s="142" t="s">
        <v>142</v>
      </c>
      <c r="G707" s="144">
        <v>109001</v>
      </c>
      <c r="H707" s="141" t="s">
        <v>101</v>
      </c>
      <c r="I707" s="141" t="s">
        <v>247</v>
      </c>
      <c r="J707" s="159" t="s">
        <v>248</v>
      </c>
      <c r="K707" s="160">
        <v>0</v>
      </c>
      <c r="L707" s="141"/>
      <c r="M707" s="161">
        <v>81580.95</v>
      </c>
      <c r="N707" s="161">
        <v>136000</v>
      </c>
      <c r="O707" s="161">
        <v>6000</v>
      </c>
      <c r="P707" s="161">
        <v>142000</v>
      </c>
      <c r="Q707" s="104">
        <f t="shared" si="42"/>
        <v>-60419.05</v>
      </c>
      <c r="R707" s="129">
        <f>M707*-1.141</f>
        <v>-93083.863949999999</v>
      </c>
    </row>
    <row r="708" spans="1:19" ht="15" hidden="1" x14ac:dyDescent="0.25">
      <c r="A708" s="141" t="s">
        <v>148</v>
      </c>
      <c r="B708" s="166" t="s">
        <v>325</v>
      </c>
      <c r="C708" s="141" t="s">
        <v>215</v>
      </c>
      <c r="D708" s="142" t="s">
        <v>241</v>
      </c>
      <c r="E708" s="158" t="s">
        <v>371</v>
      </c>
      <c r="F708" s="142" t="s">
        <v>142</v>
      </c>
      <c r="G708" s="144">
        <v>109901</v>
      </c>
      <c r="H708" s="141" t="s">
        <v>102</v>
      </c>
      <c r="I708" s="141" t="s">
        <v>247</v>
      </c>
      <c r="J708" s="159" t="s">
        <v>248</v>
      </c>
      <c r="K708" s="160">
        <v>0</v>
      </c>
      <c r="L708" s="141"/>
      <c r="M708" s="161">
        <v>104027.29</v>
      </c>
      <c r="N708" s="161">
        <v>225000</v>
      </c>
      <c r="O708" s="161">
        <v>9000</v>
      </c>
      <c r="P708" s="161">
        <v>234000</v>
      </c>
      <c r="Q708" s="104">
        <f t="shared" si="42"/>
        <v>-129972.71</v>
      </c>
      <c r="R708" s="104"/>
    </row>
    <row r="709" spans="1:19" ht="15" hidden="1" x14ac:dyDescent="0.25">
      <c r="A709" s="141" t="s">
        <v>148</v>
      </c>
      <c r="B709" s="166" t="s">
        <v>325</v>
      </c>
      <c r="C709" s="141" t="s">
        <v>215</v>
      </c>
      <c r="D709" s="142" t="s">
        <v>241</v>
      </c>
      <c r="E709" s="158" t="s">
        <v>371</v>
      </c>
      <c r="F709" s="142" t="s">
        <v>142</v>
      </c>
      <c r="G709" s="144">
        <v>109901</v>
      </c>
      <c r="H709" s="141" t="s">
        <v>102</v>
      </c>
      <c r="I709" s="141" t="s">
        <v>247</v>
      </c>
      <c r="J709" s="159" t="s">
        <v>303</v>
      </c>
      <c r="K709" s="160">
        <v>0</v>
      </c>
      <c r="L709" s="141"/>
      <c r="M709" s="161">
        <v>619.32000000000005</v>
      </c>
      <c r="N709" s="161">
        <v>0</v>
      </c>
      <c r="O709" s="161">
        <v>0</v>
      </c>
      <c r="P709" s="161">
        <v>0</v>
      </c>
      <c r="Q709" s="104">
        <f t="shared" si="42"/>
        <v>619.32000000000005</v>
      </c>
      <c r="R709" s="104"/>
    </row>
    <row r="710" spans="1:19" ht="15" hidden="1" x14ac:dyDescent="0.25">
      <c r="A710" s="141" t="s">
        <v>148</v>
      </c>
      <c r="B710" s="166" t="s">
        <v>326</v>
      </c>
      <c r="C710" s="141" t="s">
        <v>216</v>
      </c>
      <c r="D710" s="142" t="s">
        <v>241</v>
      </c>
      <c r="E710" s="158" t="s">
        <v>371</v>
      </c>
      <c r="F710" s="142" t="s">
        <v>142</v>
      </c>
      <c r="G710" s="141">
        <v>101001</v>
      </c>
      <c r="H710" s="141" t="s">
        <v>104</v>
      </c>
      <c r="I710" s="141" t="s">
        <v>247</v>
      </c>
      <c r="J710" s="159" t="s">
        <v>248</v>
      </c>
      <c r="K710" s="160">
        <v>0</v>
      </c>
      <c r="L710" s="141"/>
      <c r="M710" s="161">
        <v>584516.01</v>
      </c>
      <c r="N710" s="161">
        <v>36000</v>
      </c>
      <c r="O710" s="161">
        <v>-36000</v>
      </c>
      <c r="P710" s="161">
        <v>0</v>
      </c>
      <c r="Q710" s="104">
        <f t="shared" si="42"/>
        <v>584516.01</v>
      </c>
      <c r="R710" s="104"/>
      <c r="S710" s="66">
        <f t="shared" si="43"/>
        <v>66693.276741000009</v>
      </c>
    </row>
    <row r="711" spans="1:19" ht="15" hidden="1" x14ac:dyDescent="0.25">
      <c r="A711" s="141" t="s">
        <v>148</v>
      </c>
      <c r="B711" s="166" t="s">
        <v>326</v>
      </c>
      <c r="C711" s="141" t="s">
        <v>216</v>
      </c>
      <c r="D711" s="142" t="s">
        <v>241</v>
      </c>
      <c r="E711" s="158" t="s">
        <v>371</v>
      </c>
      <c r="F711" s="142" t="s">
        <v>142</v>
      </c>
      <c r="G711" s="141">
        <v>101039</v>
      </c>
      <c r="H711" s="141" t="s">
        <v>107</v>
      </c>
      <c r="I711" s="141" t="s">
        <v>247</v>
      </c>
      <c r="J711" s="159" t="s">
        <v>248</v>
      </c>
      <c r="K711" s="160">
        <v>0</v>
      </c>
      <c r="L711" s="141"/>
      <c r="M711" s="161">
        <v>20626.75</v>
      </c>
      <c r="N711" s="161">
        <v>2000</v>
      </c>
      <c r="O711" s="161">
        <v>-2000</v>
      </c>
      <c r="P711" s="161">
        <v>0</v>
      </c>
      <c r="Q711" s="104">
        <f t="shared" si="42"/>
        <v>20626.75</v>
      </c>
      <c r="R711" s="104"/>
      <c r="S711" s="66">
        <f t="shared" si="43"/>
        <v>2353.5121750000003</v>
      </c>
    </row>
    <row r="712" spans="1:19" ht="15" hidden="1" x14ac:dyDescent="0.25">
      <c r="A712" s="141" t="s">
        <v>148</v>
      </c>
      <c r="B712" s="166" t="s">
        <v>326</v>
      </c>
      <c r="C712" s="141" t="s">
        <v>216</v>
      </c>
      <c r="D712" s="142" t="s">
        <v>241</v>
      </c>
      <c r="E712" s="158" t="s">
        <v>371</v>
      </c>
      <c r="F712" s="142" t="s">
        <v>142</v>
      </c>
      <c r="G712" s="141">
        <v>102062</v>
      </c>
      <c r="H712" s="141" t="s">
        <v>113</v>
      </c>
      <c r="I712" s="141" t="s">
        <v>247</v>
      </c>
      <c r="J712" s="159" t="s">
        <v>248</v>
      </c>
      <c r="K712" s="160">
        <v>0</v>
      </c>
      <c r="L712" s="141"/>
      <c r="M712" s="161">
        <v>219.47</v>
      </c>
      <c r="N712" s="161">
        <v>0</v>
      </c>
      <c r="O712" s="161">
        <v>0</v>
      </c>
      <c r="P712" s="161">
        <v>0</v>
      </c>
      <c r="Q712" s="104">
        <f t="shared" ref="Q712:Q775" si="46">M712-P712</f>
        <v>219.47</v>
      </c>
      <c r="R712" s="104"/>
      <c r="S712" s="66">
        <f t="shared" si="43"/>
        <v>25.041527000000002</v>
      </c>
    </row>
    <row r="713" spans="1:19" ht="15" hidden="1" x14ac:dyDescent="0.25">
      <c r="A713" s="141" t="s">
        <v>148</v>
      </c>
      <c r="B713" s="166" t="s">
        <v>326</v>
      </c>
      <c r="C713" s="141" t="s">
        <v>216</v>
      </c>
      <c r="D713" s="142" t="s">
        <v>241</v>
      </c>
      <c r="E713" s="158" t="s">
        <v>371</v>
      </c>
      <c r="F713" s="142" t="s">
        <v>142</v>
      </c>
      <c r="G713" s="141">
        <v>103069</v>
      </c>
      <c r="H713" s="141" t="s">
        <v>214</v>
      </c>
      <c r="I713" s="141" t="s">
        <v>247</v>
      </c>
      <c r="J713" s="159" t="s">
        <v>248</v>
      </c>
      <c r="K713" s="160">
        <v>0</v>
      </c>
      <c r="L713" s="141"/>
      <c r="M713" s="161">
        <v>1699.72</v>
      </c>
      <c r="N713" s="161">
        <v>0</v>
      </c>
      <c r="O713" s="161">
        <v>0</v>
      </c>
      <c r="P713" s="161">
        <v>0</v>
      </c>
      <c r="Q713" s="104">
        <f t="shared" si="46"/>
        <v>1699.72</v>
      </c>
      <c r="R713" s="104"/>
      <c r="S713" s="66">
        <f t="shared" ref="S713:S776" si="47">M713*$S$7*1.141</f>
        <v>193.938052</v>
      </c>
    </row>
    <row r="714" spans="1:19" ht="15" hidden="1" x14ac:dyDescent="0.25">
      <c r="A714" s="141" t="s">
        <v>148</v>
      </c>
      <c r="B714" s="166" t="s">
        <v>326</v>
      </c>
      <c r="C714" s="141" t="s">
        <v>216</v>
      </c>
      <c r="D714" s="142" t="s">
        <v>241</v>
      </c>
      <c r="E714" s="158" t="s">
        <v>371</v>
      </c>
      <c r="F714" s="142" t="s">
        <v>142</v>
      </c>
      <c r="G714" s="141">
        <v>104000</v>
      </c>
      <c r="H714" s="141" t="s">
        <v>110</v>
      </c>
      <c r="I714" s="141" t="s">
        <v>247</v>
      </c>
      <c r="J714" s="159" t="s">
        <v>248</v>
      </c>
      <c r="K714" s="160">
        <v>0</v>
      </c>
      <c r="L714" s="141"/>
      <c r="M714" s="161">
        <v>5777.78</v>
      </c>
      <c r="N714" s="161">
        <v>0</v>
      </c>
      <c r="O714" s="161">
        <v>0</v>
      </c>
      <c r="P714" s="161">
        <v>0</v>
      </c>
      <c r="Q714" s="104">
        <f t="shared" si="46"/>
        <v>5777.78</v>
      </c>
      <c r="R714" s="104"/>
      <c r="S714" s="66">
        <f t="shared" si="47"/>
        <v>659.24469800000008</v>
      </c>
    </row>
    <row r="715" spans="1:19" ht="15" hidden="1" x14ac:dyDescent="0.25">
      <c r="A715" s="141" t="s">
        <v>148</v>
      </c>
      <c r="B715" s="166" t="s">
        <v>326</v>
      </c>
      <c r="C715" s="141" t="s">
        <v>216</v>
      </c>
      <c r="D715" s="142" t="s">
        <v>241</v>
      </c>
      <c r="E715" s="158" t="s">
        <v>371</v>
      </c>
      <c r="F715" s="142" t="s">
        <v>142</v>
      </c>
      <c r="G715" s="144">
        <v>109001</v>
      </c>
      <c r="H715" s="141" t="s">
        <v>101</v>
      </c>
      <c r="I715" s="141" t="s">
        <v>247</v>
      </c>
      <c r="J715" s="159" t="s">
        <v>248</v>
      </c>
      <c r="K715" s="160">
        <v>0</v>
      </c>
      <c r="L715" s="141"/>
      <c r="M715" s="161">
        <v>56375.3</v>
      </c>
      <c r="N715" s="161">
        <v>4000</v>
      </c>
      <c r="O715" s="161">
        <v>-4000</v>
      </c>
      <c r="P715" s="161">
        <v>0</v>
      </c>
      <c r="Q715" s="104">
        <f t="shared" si="46"/>
        <v>56375.3</v>
      </c>
      <c r="R715" s="129">
        <f>M715*-1.141</f>
        <v>-64324.217300000004</v>
      </c>
    </row>
    <row r="716" spans="1:19" ht="15" hidden="1" x14ac:dyDescent="0.25">
      <c r="A716" s="141" t="s">
        <v>148</v>
      </c>
      <c r="B716" s="166" t="s">
        <v>326</v>
      </c>
      <c r="C716" s="141" t="s">
        <v>216</v>
      </c>
      <c r="D716" s="142" t="s">
        <v>241</v>
      </c>
      <c r="E716" s="158" t="s">
        <v>371</v>
      </c>
      <c r="F716" s="142" t="s">
        <v>142</v>
      </c>
      <c r="G716" s="144">
        <v>109901</v>
      </c>
      <c r="H716" s="141" t="s">
        <v>102</v>
      </c>
      <c r="I716" s="141" t="s">
        <v>247</v>
      </c>
      <c r="J716" s="159" t="s">
        <v>248</v>
      </c>
      <c r="K716" s="160">
        <v>0</v>
      </c>
      <c r="L716" s="141"/>
      <c r="M716" s="161">
        <v>94359.3</v>
      </c>
      <c r="N716" s="161">
        <v>5000</v>
      </c>
      <c r="O716" s="161">
        <v>-5000</v>
      </c>
      <c r="P716" s="161">
        <v>0</v>
      </c>
      <c r="Q716" s="104">
        <f t="shared" si="46"/>
        <v>94359.3</v>
      </c>
      <c r="R716" s="104"/>
    </row>
    <row r="717" spans="1:19" ht="15" x14ac:dyDescent="0.25">
      <c r="A717" s="141" t="s">
        <v>148</v>
      </c>
      <c r="B717" s="141" t="s">
        <v>374</v>
      </c>
      <c r="C717" s="164" t="s">
        <v>375</v>
      </c>
      <c r="D717" s="142" t="s">
        <v>241</v>
      </c>
      <c r="E717" s="158" t="s">
        <v>371</v>
      </c>
      <c r="F717" s="142" t="s">
        <v>142</v>
      </c>
      <c r="G717" s="141">
        <v>101001</v>
      </c>
      <c r="H717" s="141" t="s">
        <v>104</v>
      </c>
      <c r="I717" s="141" t="s">
        <v>247</v>
      </c>
      <c r="J717" s="159" t="s">
        <v>248</v>
      </c>
      <c r="K717" s="160">
        <v>0</v>
      </c>
      <c r="L717" s="141"/>
      <c r="M717" s="161">
        <v>1376385.58</v>
      </c>
      <c r="N717" s="161">
        <v>0</v>
      </c>
      <c r="O717" s="161">
        <v>1602000</v>
      </c>
      <c r="P717" s="161">
        <v>1602000</v>
      </c>
      <c r="Q717" s="104">
        <f t="shared" si="46"/>
        <v>-225614.41999999993</v>
      </c>
      <c r="R717" s="104"/>
      <c r="S717" s="66">
        <f t="shared" si="47"/>
        <v>157045.59467800002</v>
      </c>
    </row>
    <row r="718" spans="1:19" ht="15" x14ac:dyDescent="0.25">
      <c r="A718" s="141" t="s">
        <v>148</v>
      </c>
      <c r="B718" s="141" t="s">
        <v>374</v>
      </c>
      <c r="C718" s="164" t="s">
        <v>375</v>
      </c>
      <c r="D718" s="142" t="s">
        <v>241</v>
      </c>
      <c r="E718" s="158" t="s">
        <v>371</v>
      </c>
      <c r="F718" s="142" t="s">
        <v>142</v>
      </c>
      <c r="G718" s="141">
        <v>101002</v>
      </c>
      <c r="H718" s="141" t="s">
        <v>105</v>
      </c>
      <c r="I718" s="141" t="s">
        <v>247</v>
      </c>
      <c r="J718" s="159" t="s">
        <v>248</v>
      </c>
      <c r="K718" s="160">
        <v>0</v>
      </c>
      <c r="L718" s="141"/>
      <c r="M718" s="161">
        <v>-18920.32</v>
      </c>
      <c r="N718" s="161">
        <v>0</v>
      </c>
      <c r="O718" s="161">
        <v>0</v>
      </c>
      <c r="P718" s="161">
        <v>0</v>
      </c>
      <c r="Q718" s="104">
        <f t="shared" si="46"/>
        <v>-18920.32</v>
      </c>
      <c r="R718" s="104"/>
      <c r="S718" s="66">
        <f t="shared" si="47"/>
        <v>-2158.8085120000001</v>
      </c>
    </row>
    <row r="719" spans="1:19" ht="15" x14ac:dyDescent="0.25">
      <c r="A719" s="141" t="s">
        <v>148</v>
      </c>
      <c r="B719" s="141" t="s">
        <v>374</v>
      </c>
      <c r="C719" s="164" t="s">
        <v>375</v>
      </c>
      <c r="D719" s="142" t="s">
        <v>241</v>
      </c>
      <c r="E719" s="158" t="s">
        <v>371</v>
      </c>
      <c r="F719" s="142" t="s">
        <v>142</v>
      </c>
      <c r="G719" s="141">
        <v>101039</v>
      </c>
      <c r="H719" s="141" t="s">
        <v>107</v>
      </c>
      <c r="I719" s="141" t="s">
        <v>247</v>
      </c>
      <c r="J719" s="159" t="s">
        <v>248</v>
      </c>
      <c r="K719" s="160">
        <v>0</v>
      </c>
      <c r="L719" s="141"/>
      <c r="M719" s="161">
        <v>47611.199999999997</v>
      </c>
      <c r="N719" s="161">
        <v>0</v>
      </c>
      <c r="O719" s="161">
        <v>0</v>
      </c>
      <c r="P719" s="161">
        <v>0</v>
      </c>
      <c r="Q719" s="104">
        <f t="shared" si="46"/>
        <v>47611.199999999997</v>
      </c>
      <c r="R719" s="104"/>
      <c r="S719" s="66">
        <f t="shared" si="47"/>
        <v>5432.4379200000003</v>
      </c>
    </row>
    <row r="720" spans="1:19" ht="15" x14ac:dyDescent="0.25">
      <c r="A720" s="141" t="s">
        <v>148</v>
      </c>
      <c r="B720" s="141" t="s">
        <v>374</v>
      </c>
      <c r="C720" s="164" t="s">
        <v>375</v>
      </c>
      <c r="D720" s="142" t="s">
        <v>241</v>
      </c>
      <c r="E720" s="158" t="s">
        <v>371</v>
      </c>
      <c r="F720" s="142" t="s">
        <v>142</v>
      </c>
      <c r="G720" s="141">
        <v>102002</v>
      </c>
      <c r="H720" s="141" t="s">
        <v>108</v>
      </c>
      <c r="I720" s="141" t="s">
        <v>247</v>
      </c>
      <c r="J720" s="159" t="s">
        <v>248</v>
      </c>
      <c r="K720" s="160">
        <v>0</v>
      </c>
      <c r="L720" s="141"/>
      <c r="M720" s="161">
        <v>5366.85</v>
      </c>
      <c r="N720" s="161">
        <v>0</v>
      </c>
      <c r="O720" s="161">
        <v>0</v>
      </c>
      <c r="P720" s="161">
        <v>0</v>
      </c>
      <c r="Q720" s="104">
        <f t="shared" si="46"/>
        <v>5366.85</v>
      </c>
      <c r="R720" s="104"/>
      <c r="S720" s="66">
        <f t="shared" si="47"/>
        <v>612.35758500000009</v>
      </c>
    </row>
    <row r="721" spans="1:19" ht="15" x14ac:dyDescent="0.25">
      <c r="A721" s="141" t="s">
        <v>148</v>
      </c>
      <c r="B721" s="141" t="s">
        <v>374</v>
      </c>
      <c r="C721" s="164" t="s">
        <v>375</v>
      </c>
      <c r="D721" s="142" t="s">
        <v>241</v>
      </c>
      <c r="E721" s="158" t="s">
        <v>371</v>
      </c>
      <c r="F721" s="142" t="s">
        <v>142</v>
      </c>
      <c r="G721" s="141">
        <v>102003</v>
      </c>
      <c r="H721" s="141" t="s">
        <v>106</v>
      </c>
      <c r="I721" s="141" t="s">
        <v>247</v>
      </c>
      <c r="J721" s="159" t="s">
        <v>248</v>
      </c>
      <c r="K721" s="160">
        <v>0</v>
      </c>
      <c r="L721" s="141"/>
      <c r="M721" s="161">
        <v>3577.9</v>
      </c>
      <c r="N721" s="161">
        <v>0</v>
      </c>
      <c r="O721" s="161">
        <v>62000</v>
      </c>
      <c r="P721" s="161">
        <v>62000</v>
      </c>
      <c r="Q721" s="104">
        <f t="shared" si="46"/>
        <v>-58422.1</v>
      </c>
      <c r="R721" s="104"/>
      <c r="S721" s="66">
        <f t="shared" si="47"/>
        <v>408.23839000000004</v>
      </c>
    </row>
    <row r="722" spans="1:19" ht="15" x14ac:dyDescent="0.25">
      <c r="A722" s="141" t="s">
        <v>148</v>
      </c>
      <c r="B722" s="141" t="s">
        <v>374</v>
      </c>
      <c r="C722" s="164" t="s">
        <v>375</v>
      </c>
      <c r="D722" s="142" t="s">
        <v>241</v>
      </c>
      <c r="E722" s="158" t="s">
        <v>371</v>
      </c>
      <c r="F722" s="142" t="s">
        <v>142</v>
      </c>
      <c r="G722" s="141">
        <v>102062</v>
      </c>
      <c r="H722" s="141" t="s">
        <v>113</v>
      </c>
      <c r="I722" s="141" t="s">
        <v>247</v>
      </c>
      <c r="J722" s="159" t="s">
        <v>248</v>
      </c>
      <c r="K722" s="160">
        <v>0</v>
      </c>
      <c r="L722" s="141"/>
      <c r="M722" s="161">
        <v>752.64</v>
      </c>
      <c r="N722" s="161">
        <v>0</v>
      </c>
      <c r="O722" s="161">
        <v>0</v>
      </c>
      <c r="P722" s="161">
        <v>0</v>
      </c>
      <c r="Q722" s="104">
        <f t="shared" si="46"/>
        <v>752.64</v>
      </c>
      <c r="R722" s="129"/>
      <c r="S722" s="66">
        <f t="shared" si="47"/>
        <v>85.876223999999993</v>
      </c>
    </row>
    <row r="723" spans="1:19" ht="15" x14ac:dyDescent="0.25">
      <c r="A723" s="141" t="s">
        <v>148</v>
      </c>
      <c r="B723" s="141" t="s">
        <v>374</v>
      </c>
      <c r="C723" s="164" t="s">
        <v>375</v>
      </c>
      <c r="D723" s="142" t="s">
        <v>241</v>
      </c>
      <c r="E723" s="158" t="s">
        <v>371</v>
      </c>
      <c r="F723" s="142" t="s">
        <v>142</v>
      </c>
      <c r="G723" s="141">
        <v>103069</v>
      </c>
      <c r="H723" s="141" t="s">
        <v>214</v>
      </c>
      <c r="I723" s="141" t="s">
        <v>247</v>
      </c>
      <c r="J723" s="159" t="s">
        <v>248</v>
      </c>
      <c r="K723" s="160">
        <v>0</v>
      </c>
      <c r="L723" s="141"/>
      <c r="M723" s="161">
        <v>1045.58</v>
      </c>
      <c r="N723" s="161">
        <v>0</v>
      </c>
      <c r="O723" s="161">
        <v>0</v>
      </c>
      <c r="P723" s="161">
        <v>0</v>
      </c>
      <c r="Q723" s="104">
        <f t="shared" si="46"/>
        <v>1045.58</v>
      </c>
      <c r="R723" s="129"/>
      <c r="S723" s="66">
        <f t="shared" si="47"/>
        <v>119.30067799999999</v>
      </c>
    </row>
    <row r="724" spans="1:19" ht="15" x14ac:dyDescent="0.25">
      <c r="A724" s="141" t="s">
        <v>148</v>
      </c>
      <c r="B724" s="141" t="s">
        <v>374</v>
      </c>
      <c r="C724" s="164" t="s">
        <v>375</v>
      </c>
      <c r="D724" s="142" t="s">
        <v>241</v>
      </c>
      <c r="E724" s="158" t="s">
        <v>371</v>
      </c>
      <c r="F724" s="142" t="s">
        <v>142</v>
      </c>
      <c r="G724" s="141">
        <v>104000</v>
      </c>
      <c r="H724" s="141" t="s">
        <v>110</v>
      </c>
      <c r="I724" s="141" t="s">
        <v>247</v>
      </c>
      <c r="J724" s="159" t="s">
        <v>248</v>
      </c>
      <c r="K724" s="160">
        <v>0</v>
      </c>
      <c r="L724" s="141"/>
      <c r="M724" s="161">
        <v>7059.36</v>
      </c>
      <c r="N724" s="161">
        <v>0</v>
      </c>
      <c r="O724" s="161">
        <v>15000</v>
      </c>
      <c r="P724" s="161">
        <v>15000</v>
      </c>
      <c r="Q724" s="104">
        <f t="shared" si="46"/>
        <v>-7940.64</v>
      </c>
      <c r="R724" s="129"/>
      <c r="S724" s="66">
        <f t="shared" si="47"/>
        <v>805.47297600000002</v>
      </c>
    </row>
    <row r="725" spans="1:19" ht="15" x14ac:dyDescent="0.25">
      <c r="A725" s="141" t="s">
        <v>148</v>
      </c>
      <c r="B725" s="141" t="s">
        <v>374</v>
      </c>
      <c r="C725" s="164" t="s">
        <v>375</v>
      </c>
      <c r="D725" s="142" t="s">
        <v>241</v>
      </c>
      <c r="E725" s="158" t="s">
        <v>371</v>
      </c>
      <c r="F725" s="142" t="s">
        <v>142</v>
      </c>
      <c r="G725" s="141">
        <v>105010</v>
      </c>
      <c r="H725" s="141" t="s">
        <v>118</v>
      </c>
      <c r="I725" s="141" t="s">
        <v>247</v>
      </c>
      <c r="J725" s="159" t="s">
        <v>248</v>
      </c>
      <c r="K725" s="160">
        <v>0</v>
      </c>
      <c r="L725" s="141"/>
      <c r="M725" s="161">
        <v>1372.02</v>
      </c>
      <c r="N725" s="161">
        <v>0</v>
      </c>
      <c r="O725" s="161">
        <v>0</v>
      </c>
      <c r="P725" s="161">
        <v>0</v>
      </c>
      <c r="Q725" s="104">
        <f t="shared" si="46"/>
        <v>1372.02</v>
      </c>
      <c r="R725" s="129"/>
      <c r="S725" s="66">
        <f t="shared" si="47"/>
        <v>156.547482</v>
      </c>
    </row>
    <row r="726" spans="1:19" ht="15" x14ac:dyDescent="0.25">
      <c r="A726" s="141" t="s">
        <v>148</v>
      </c>
      <c r="B726" s="141" t="s">
        <v>374</v>
      </c>
      <c r="C726" s="164" t="s">
        <v>375</v>
      </c>
      <c r="D726" s="142" t="s">
        <v>241</v>
      </c>
      <c r="E726" s="158" t="s">
        <v>371</v>
      </c>
      <c r="F726" s="142" t="s">
        <v>142</v>
      </c>
      <c r="G726" s="144">
        <v>109001</v>
      </c>
      <c r="H726" s="141" t="s">
        <v>101</v>
      </c>
      <c r="I726" s="141" t="s">
        <v>247</v>
      </c>
      <c r="J726" s="159" t="s">
        <v>248</v>
      </c>
      <c r="K726" s="160">
        <v>0</v>
      </c>
      <c r="L726" s="141"/>
      <c r="M726" s="161">
        <v>114938.87</v>
      </c>
      <c r="N726" s="161">
        <v>0</v>
      </c>
      <c r="O726" s="161">
        <v>158000</v>
      </c>
      <c r="P726" s="161">
        <v>158000</v>
      </c>
      <c r="Q726" s="104">
        <f t="shared" si="46"/>
        <v>-43061.130000000005</v>
      </c>
      <c r="R726" s="129">
        <f>M726*-1.141</f>
        <v>-131145.25067000001</v>
      </c>
    </row>
    <row r="727" spans="1:19" ht="15" x14ac:dyDescent="0.25">
      <c r="A727" s="141" t="s">
        <v>148</v>
      </c>
      <c r="B727" s="141" t="s">
        <v>374</v>
      </c>
      <c r="C727" s="164" t="s">
        <v>375</v>
      </c>
      <c r="D727" s="142" t="s">
        <v>241</v>
      </c>
      <c r="E727" s="158" t="s">
        <v>371</v>
      </c>
      <c r="F727" s="142" t="s">
        <v>142</v>
      </c>
      <c r="G727" s="144">
        <v>109901</v>
      </c>
      <c r="H727" s="141" t="s">
        <v>102</v>
      </c>
      <c r="I727" s="141" t="s">
        <v>247</v>
      </c>
      <c r="J727" s="159" t="s">
        <v>248</v>
      </c>
      <c r="K727" s="160">
        <v>0</v>
      </c>
      <c r="L727" s="141"/>
      <c r="M727" s="161">
        <v>217025.7</v>
      </c>
      <c r="N727" s="161">
        <v>0</v>
      </c>
      <c r="O727" s="161">
        <v>259000</v>
      </c>
      <c r="P727" s="161">
        <v>259000</v>
      </c>
      <c r="Q727" s="104">
        <f t="shared" si="46"/>
        <v>-41974.299999999988</v>
      </c>
      <c r="R727" s="129"/>
    </row>
    <row r="728" spans="1:19" ht="15" hidden="1" x14ac:dyDescent="0.25">
      <c r="A728" s="141" t="s">
        <v>148</v>
      </c>
      <c r="B728" s="166" t="s">
        <v>376</v>
      </c>
      <c r="C728" s="141" t="s">
        <v>377</v>
      </c>
      <c r="D728" s="142" t="s">
        <v>378</v>
      </c>
      <c r="E728" s="158" t="s">
        <v>379</v>
      </c>
      <c r="F728" s="142" t="s">
        <v>142</v>
      </c>
      <c r="G728" s="141">
        <v>102003</v>
      </c>
      <c r="H728" s="141" t="s">
        <v>106</v>
      </c>
      <c r="I728" s="141" t="s">
        <v>247</v>
      </c>
      <c r="J728" s="159" t="s">
        <v>248</v>
      </c>
      <c r="K728" s="160">
        <v>0</v>
      </c>
      <c r="L728" s="141"/>
      <c r="M728" s="162">
        <v>1379.84</v>
      </c>
      <c r="N728" s="161">
        <v>0</v>
      </c>
      <c r="O728" s="161">
        <v>0</v>
      </c>
      <c r="P728" s="161">
        <v>0</v>
      </c>
      <c r="Q728" s="104">
        <f t="shared" si="46"/>
        <v>1379.84</v>
      </c>
      <c r="R728" s="129"/>
      <c r="S728" s="66">
        <f t="shared" si="47"/>
        <v>157.43974400000002</v>
      </c>
    </row>
    <row r="729" spans="1:19" ht="15" hidden="1" x14ac:dyDescent="0.25">
      <c r="A729" s="141" t="s">
        <v>148</v>
      </c>
      <c r="B729" s="166" t="s">
        <v>376</v>
      </c>
      <c r="C729" s="141" t="s">
        <v>377</v>
      </c>
      <c r="D729" s="142" t="s">
        <v>378</v>
      </c>
      <c r="E729" s="158" t="s">
        <v>379</v>
      </c>
      <c r="F729" s="142" t="s">
        <v>142</v>
      </c>
      <c r="G729" s="144">
        <v>109001</v>
      </c>
      <c r="H729" s="141" t="s">
        <v>101</v>
      </c>
      <c r="I729" s="141" t="s">
        <v>247</v>
      </c>
      <c r="J729" s="159" t="s">
        <v>248</v>
      </c>
      <c r="K729" s="160">
        <v>0</v>
      </c>
      <c r="L729" s="141"/>
      <c r="M729" s="161">
        <v>106.1</v>
      </c>
      <c r="N729" s="161">
        <v>0</v>
      </c>
      <c r="O729" s="161">
        <v>0</v>
      </c>
      <c r="P729" s="161">
        <v>0</v>
      </c>
      <c r="Q729" s="104">
        <f t="shared" si="46"/>
        <v>106.1</v>
      </c>
      <c r="R729" s="129">
        <f>M729*-1.141</f>
        <v>-121.06009999999999</v>
      </c>
    </row>
    <row r="730" spans="1:19" ht="15" hidden="1" x14ac:dyDescent="0.25">
      <c r="A730" s="141" t="s">
        <v>148</v>
      </c>
      <c r="B730" s="166" t="s">
        <v>376</v>
      </c>
      <c r="C730" s="141" t="s">
        <v>377</v>
      </c>
      <c r="D730" s="142" t="s">
        <v>378</v>
      </c>
      <c r="E730" s="158" t="s">
        <v>379</v>
      </c>
      <c r="F730" s="142" t="s">
        <v>142</v>
      </c>
      <c r="G730" s="144">
        <v>109901</v>
      </c>
      <c r="H730" s="141" t="s">
        <v>102</v>
      </c>
      <c r="I730" s="141" t="s">
        <v>247</v>
      </c>
      <c r="J730" s="159" t="s">
        <v>248</v>
      </c>
      <c r="K730" s="160">
        <v>0</v>
      </c>
      <c r="L730" s="141"/>
      <c r="M730" s="161">
        <v>209.52</v>
      </c>
      <c r="N730" s="161">
        <v>0</v>
      </c>
      <c r="O730" s="161">
        <v>0</v>
      </c>
      <c r="P730" s="161">
        <v>0</v>
      </c>
      <c r="Q730" s="104">
        <f t="shared" si="46"/>
        <v>209.52</v>
      </c>
      <c r="R730" s="129"/>
    </row>
    <row r="731" spans="1:19" ht="15" x14ac:dyDescent="0.25">
      <c r="A731" s="141" t="s">
        <v>148</v>
      </c>
      <c r="B731" s="141" t="s">
        <v>327</v>
      </c>
      <c r="C731" s="141" t="s">
        <v>257</v>
      </c>
      <c r="D731" s="142" t="s">
        <v>256</v>
      </c>
      <c r="E731" s="158" t="s">
        <v>380</v>
      </c>
      <c r="F731" s="142" t="s">
        <v>142</v>
      </c>
      <c r="G731" s="141">
        <v>101001</v>
      </c>
      <c r="H731" s="141" t="s">
        <v>104</v>
      </c>
      <c r="I731" s="141" t="s">
        <v>276</v>
      </c>
      <c r="J731" s="159" t="s">
        <v>248</v>
      </c>
      <c r="K731" s="160">
        <v>0</v>
      </c>
      <c r="L731" s="141"/>
      <c r="M731" s="161">
        <v>498374.85</v>
      </c>
      <c r="N731" s="161">
        <v>20000</v>
      </c>
      <c r="O731" s="161">
        <v>18000</v>
      </c>
      <c r="P731" s="161">
        <v>38000</v>
      </c>
      <c r="Q731" s="104">
        <f t="shared" si="46"/>
        <v>460374.85</v>
      </c>
      <c r="R731" s="104"/>
      <c r="S731" s="66">
        <f t="shared" si="47"/>
        <v>56864.570384999999</v>
      </c>
    </row>
    <row r="732" spans="1:19" ht="15" x14ac:dyDescent="0.25">
      <c r="A732" s="141" t="s">
        <v>148</v>
      </c>
      <c r="B732" s="141" t="s">
        <v>327</v>
      </c>
      <c r="C732" s="141" t="s">
        <v>257</v>
      </c>
      <c r="D732" s="142" t="s">
        <v>256</v>
      </c>
      <c r="E732" s="158" t="s">
        <v>380</v>
      </c>
      <c r="F732" s="142" t="s">
        <v>142</v>
      </c>
      <c r="G732" s="141">
        <v>101039</v>
      </c>
      <c r="H732" s="141" t="s">
        <v>107</v>
      </c>
      <c r="I732" s="141" t="s">
        <v>276</v>
      </c>
      <c r="J732" s="159" t="s">
        <v>248</v>
      </c>
      <c r="K732" s="160">
        <v>0</v>
      </c>
      <c r="L732" s="141"/>
      <c r="M732" s="161">
        <v>4134.12</v>
      </c>
      <c r="N732" s="161">
        <v>0</v>
      </c>
      <c r="O732" s="161">
        <v>0</v>
      </c>
      <c r="P732" s="161">
        <v>0</v>
      </c>
      <c r="Q732" s="104">
        <f t="shared" si="46"/>
        <v>4134.12</v>
      </c>
      <c r="R732" s="104"/>
      <c r="S732" s="66">
        <f t="shared" si="47"/>
        <v>471.70309200000003</v>
      </c>
    </row>
    <row r="733" spans="1:19" ht="15" x14ac:dyDescent="0.25">
      <c r="A733" s="141" t="s">
        <v>148</v>
      </c>
      <c r="B733" s="141" t="s">
        <v>327</v>
      </c>
      <c r="C733" s="141" t="s">
        <v>257</v>
      </c>
      <c r="D733" s="142" t="s">
        <v>256</v>
      </c>
      <c r="E733" s="158" t="s">
        <v>380</v>
      </c>
      <c r="F733" s="142" t="s">
        <v>142</v>
      </c>
      <c r="G733" s="141">
        <v>101039</v>
      </c>
      <c r="H733" s="141" t="s">
        <v>107</v>
      </c>
      <c r="I733" s="141" t="s">
        <v>276</v>
      </c>
      <c r="J733" s="159" t="s">
        <v>248</v>
      </c>
      <c r="K733" s="160">
        <v>22106</v>
      </c>
      <c r="L733" s="141"/>
      <c r="M733" s="161">
        <v>1120</v>
      </c>
      <c r="N733" s="161">
        <v>0</v>
      </c>
      <c r="O733" s="161">
        <v>0</v>
      </c>
      <c r="P733" s="161">
        <v>0</v>
      </c>
      <c r="Q733" s="104">
        <f t="shared" si="46"/>
        <v>1120</v>
      </c>
      <c r="R733" s="104"/>
      <c r="S733" s="66">
        <f t="shared" si="47"/>
        <v>127.792</v>
      </c>
    </row>
    <row r="734" spans="1:19" ht="15" x14ac:dyDescent="0.25">
      <c r="A734" s="141" t="s">
        <v>148</v>
      </c>
      <c r="B734" s="141" t="s">
        <v>327</v>
      </c>
      <c r="C734" s="141" t="s">
        <v>257</v>
      </c>
      <c r="D734" s="142" t="s">
        <v>256</v>
      </c>
      <c r="E734" s="158" t="s">
        <v>380</v>
      </c>
      <c r="F734" s="142" t="s">
        <v>142</v>
      </c>
      <c r="G734" s="141">
        <v>101039</v>
      </c>
      <c r="H734" s="141" t="s">
        <v>107</v>
      </c>
      <c r="I734" s="141" t="s">
        <v>276</v>
      </c>
      <c r="J734" s="159" t="s">
        <v>248</v>
      </c>
      <c r="K734" s="160">
        <v>24210</v>
      </c>
      <c r="L734" s="141"/>
      <c r="M734" s="161">
        <v>1120</v>
      </c>
      <c r="N734" s="161">
        <v>0</v>
      </c>
      <c r="O734" s="161">
        <v>0</v>
      </c>
      <c r="P734" s="161">
        <v>0</v>
      </c>
      <c r="Q734" s="104">
        <f t="shared" si="46"/>
        <v>1120</v>
      </c>
      <c r="R734" s="104"/>
      <c r="S734" s="66">
        <f t="shared" si="47"/>
        <v>127.792</v>
      </c>
    </row>
    <row r="735" spans="1:19" ht="15" x14ac:dyDescent="0.25">
      <c r="A735" s="141" t="s">
        <v>148</v>
      </c>
      <c r="B735" s="141" t="s">
        <v>327</v>
      </c>
      <c r="C735" s="141" t="s">
        <v>257</v>
      </c>
      <c r="D735" s="142" t="s">
        <v>256</v>
      </c>
      <c r="E735" s="158" t="s">
        <v>380</v>
      </c>
      <c r="F735" s="142" t="s">
        <v>142</v>
      </c>
      <c r="G735" s="141">
        <v>103060</v>
      </c>
      <c r="H735" s="141" t="s">
        <v>266</v>
      </c>
      <c r="I735" s="141" t="s">
        <v>276</v>
      </c>
      <c r="J735" s="159" t="s">
        <v>248</v>
      </c>
      <c r="K735" s="160">
        <v>0</v>
      </c>
      <c r="L735" s="141"/>
      <c r="M735" s="161">
        <v>658.56</v>
      </c>
      <c r="N735" s="161">
        <v>0</v>
      </c>
      <c r="O735" s="161">
        <v>0</v>
      </c>
      <c r="P735" s="161">
        <v>0</v>
      </c>
      <c r="Q735" s="104">
        <f t="shared" si="46"/>
        <v>658.56</v>
      </c>
      <c r="R735" s="104"/>
      <c r="S735" s="66">
        <f t="shared" si="47"/>
        <v>75.141695999999996</v>
      </c>
    </row>
    <row r="736" spans="1:19" ht="15" x14ac:dyDescent="0.25">
      <c r="A736" s="141" t="s">
        <v>148</v>
      </c>
      <c r="B736" s="141" t="s">
        <v>327</v>
      </c>
      <c r="C736" s="141" t="s">
        <v>257</v>
      </c>
      <c r="D736" s="142" t="s">
        <v>256</v>
      </c>
      <c r="E736" s="158" t="s">
        <v>380</v>
      </c>
      <c r="F736" s="142" t="s">
        <v>142</v>
      </c>
      <c r="G736" s="141">
        <v>103062</v>
      </c>
      <c r="H736" s="141" t="s">
        <v>114</v>
      </c>
      <c r="I736" s="141" t="s">
        <v>276</v>
      </c>
      <c r="J736" s="159" t="s">
        <v>248</v>
      </c>
      <c r="K736" s="160">
        <v>0</v>
      </c>
      <c r="L736" s="141"/>
      <c r="M736" s="161">
        <v>129.02000000000001</v>
      </c>
      <c r="N736" s="161">
        <v>0</v>
      </c>
      <c r="O736" s="161">
        <v>0</v>
      </c>
      <c r="P736" s="161">
        <v>0</v>
      </c>
      <c r="Q736" s="104">
        <f t="shared" si="46"/>
        <v>129.02000000000001</v>
      </c>
      <c r="R736" s="104"/>
      <c r="S736" s="66">
        <f t="shared" si="47"/>
        <v>14.721182000000001</v>
      </c>
    </row>
    <row r="737" spans="1:19" ht="15" x14ac:dyDescent="0.25">
      <c r="A737" s="141" t="s">
        <v>148</v>
      </c>
      <c r="B737" s="141" t="s">
        <v>327</v>
      </c>
      <c r="C737" s="141" t="s">
        <v>257</v>
      </c>
      <c r="D737" s="142" t="s">
        <v>256</v>
      </c>
      <c r="E737" s="158" t="s">
        <v>380</v>
      </c>
      <c r="F737" s="142" t="s">
        <v>142</v>
      </c>
      <c r="G737" s="141">
        <v>104000</v>
      </c>
      <c r="H737" s="141" t="s">
        <v>110</v>
      </c>
      <c r="I737" s="141" t="s">
        <v>276</v>
      </c>
      <c r="J737" s="159" t="s">
        <v>248</v>
      </c>
      <c r="K737" s="160">
        <v>0</v>
      </c>
      <c r="L737" s="141"/>
      <c r="M737" s="161">
        <v>10024.77</v>
      </c>
      <c r="N737" s="161">
        <v>0</v>
      </c>
      <c r="O737" s="161">
        <v>0</v>
      </c>
      <c r="P737" s="161">
        <v>0</v>
      </c>
      <c r="Q737" s="104">
        <f t="shared" si="46"/>
        <v>10024.77</v>
      </c>
      <c r="R737" s="104"/>
      <c r="S737" s="66">
        <f t="shared" si="47"/>
        <v>1143.8262570000002</v>
      </c>
    </row>
    <row r="738" spans="1:19" ht="15" x14ac:dyDescent="0.25">
      <c r="A738" s="141" t="s">
        <v>148</v>
      </c>
      <c r="B738" s="141" t="s">
        <v>327</v>
      </c>
      <c r="C738" s="141" t="s">
        <v>257</v>
      </c>
      <c r="D738" s="142" t="s">
        <v>256</v>
      </c>
      <c r="E738" s="158" t="s">
        <v>380</v>
      </c>
      <c r="F738" s="142" t="s">
        <v>142</v>
      </c>
      <c r="G738" s="141">
        <v>104000</v>
      </c>
      <c r="H738" s="141" t="s">
        <v>110</v>
      </c>
      <c r="I738" s="141" t="s">
        <v>276</v>
      </c>
      <c r="J738" s="159" t="s">
        <v>248</v>
      </c>
      <c r="K738" s="160">
        <v>24209</v>
      </c>
      <c r="L738" s="141"/>
      <c r="M738" s="161">
        <v>5038.87</v>
      </c>
      <c r="N738" s="161">
        <v>0</v>
      </c>
      <c r="O738" s="161">
        <v>0</v>
      </c>
      <c r="P738" s="161">
        <v>0</v>
      </c>
      <c r="Q738" s="104">
        <f t="shared" si="46"/>
        <v>5038.87</v>
      </c>
      <c r="R738" s="104"/>
      <c r="S738" s="66">
        <f t="shared" si="47"/>
        <v>574.935067</v>
      </c>
    </row>
    <row r="739" spans="1:19" ht="15" x14ac:dyDescent="0.25">
      <c r="A739" s="141" t="s">
        <v>148</v>
      </c>
      <c r="B739" s="141" t="s">
        <v>327</v>
      </c>
      <c r="C739" s="141" t="s">
        <v>257</v>
      </c>
      <c r="D739" s="142" t="s">
        <v>256</v>
      </c>
      <c r="E739" s="158" t="s">
        <v>380</v>
      </c>
      <c r="F739" s="142" t="s">
        <v>142</v>
      </c>
      <c r="G739" s="141">
        <v>104000</v>
      </c>
      <c r="H739" s="141" t="s">
        <v>110</v>
      </c>
      <c r="I739" s="141" t="s">
        <v>276</v>
      </c>
      <c r="J739" s="159" t="s">
        <v>248</v>
      </c>
      <c r="K739" s="160">
        <v>24210</v>
      </c>
      <c r="L739" s="141"/>
      <c r="M739" s="161">
        <v>876.33</v>
      </c>
      <c r="N739" s="161">
        <v>0</v>
      </c>
      <c r="O739" s="161">
        <v>0</v>
      </c>
      <c r="P739" s="161">
        <v>0</v>
      </c>
      <c r="Q739" s="104">
        <f t="shared" si="46"/>
        <v>876.33</v>
      </c>
      <c r="R739" s="104"/>
      <c r="S739" s="66">
        <f t="shared" si="47"/>
        <v>99.989253000000019</v>
      </c>
    </row>
    <row r="740" spans="1:19" ht="15" x14ac:dyDescent="0.25">
      <c r="A740" s="141" t="s">
        <v>148</v>
      </c>
      <c r="B740" s="141" t="s">
        <v>327</v>
      </c>
      <c r="C740" s="141" t="s">
        <v>257</v>
      </c>
      <c r="D740" s="142" t="s">
        <v>256</v>
      </c>
      <c r="E740" s="158" t="s">
        <v>380</v>
      </c>
      <c r="F740" s="142" t="s">
        <v>142</v>
      </c>
      <c r="G740" s="141">
        <v>105098</v>
      </c>
      <c r="H740" s="141" t="s">
        <v>265</v>
      </c>
      <c r="I740" s="141" t="s">
        <v>276</v>
      </c>
      <c r="J740" s="159" t="s">
        <v>302</v>
      </c>
      <c r="K740" s="160">
        <v>0</v>
      </c>
      <c r="L740" s="141"/>
      <c r="M740" s="161">
        <v>-4392</v>
      </c>
      <c r="N740" s="161">
        <v>0</v>
      </c>
      <c r="O740" s="161">
        <v>0</v>
      </c>
      <c r="P740" s="161">
        <v>0</v>
      </c>
      <c r="Q740" s="104">
        <f t="shared" si="46"/>
        <v>-4392</v>
      </c>
      <c r="R740" s="104"/>
      <c r="S740" s="66">
        <f t="shared" si="47"/>
        <v>-501.12720000000007</v>
      </c>
    </row>
    <row r="741" spans="1:19" ht="15" x14ac:dyDescent="0.25">
      <c r="A741" s="141" t="s">
        <v>148</v>
      </c>
      <c r="B741" s="141" t="s">
        <v>327</v>
      </c>
      <c r="C741" s="141" t="s">
        <v>257</v>
      </c>
      <c r="D741" s="142" t="s">
        <v>256</v>
      </c>
      <c r="E741" s="158" t="s">
        <v>380</v>
      </c>
      <c r="F741" s="142" t="s">
        <v>142</v>
      </c>
      <c r="G741" s="141">
        <v>105099</v>
      </c>
      <c r="H741" s="141" t="s">
        <v>103</v>
      </c>
      <c r="I741" s="141" t="s">
        <v>276</v>
      </c>
      <c r="J741" s="159" t="s">
        <v>303</v>
      </c>
      <c r="K741" s="160">
        <v>0</v>
      </c>
      <c r="L741" s="141"/>
      <c r="M741" s="161">
        <v>4392</v>
      </c>
      <c r="N741" s="161">
        <v>0</v>
      </c>
      <c r="O741" s="161">
        <v>0</v>
      </c>
      <c r="P741" s="161">
        <v>0</v>
      </c>
      <c r="Q741" s="104">
        <f t="shared" si="46"/>
        <v>4392</v>
      </c>
      <c r="R741" s="104"/>
      <c r="S741" s="66">
        <f t="shared" si="47"/>
        <v>501.12720000000007</v>
      </c>
    </row>
    <row r="742" spans="1:19" ht="15" x14ac:dyDescent="0.25">
      <c r="A742" s="141" t="s">
        <v>148</v>
      </c>
      <c r="B742" s="141" t="s">
        <v>327</v>
      </c>
      <c r="C742" s="141" t="s">
        <v>257</v>
      </c>
      <c r="D742" s="142" t="s">
        <v>256</v>
      </c>
      <c r="E742" s="158" t="s">
        <v>380</v>
      </c>
      <c r="F742" s="142" t="s">
        <v>142</v>
      </c>
      <c r="G742" s="144">
        <v>109001</v>
      </c>
      <c r="H742" s="141" t="s">
        <v>101</v>
      </c>
      <c r="I742" s="141" t="s">
        <v>276</v>
      </c>
      <c r="J742" s="159" t="s">
        <v>248</v>
      </c>
      <c r="K742" s="160">
        <v>0</v>
      </c>
      <c r="L742" s="141"/>
      <c r="M742" s="161">
        <v>46359.27</v>
      </c>
      <c r="N742" s="161">
        <v>2000</v>
      </c>
      <c r="O742" s="161">
        <v>2000</v>
      </c>
      <c r="P742" s="161">
        <v>4000</v>
      </c>
      <c r="Q742" s="104">
        <f t="shared" si="46"/>
        <v>42359.27</v>
      </c>
      <c r="R742" s="129">
        <f>M742*-1.141</f>
        <v>-52895.927069999998</v>
      </c>
    </row>
    <row r="743" spans="1:19" ht="15" x14ac:dyDescent="0.25">
      <c r="A743" s="141" t="s">
        <v>148</v>
      </c>
      <c r="B743" s="141" t="s">
        <v>327</v>
      </c>
      <c r="C743" s="141" t="s">
        <v>257</v>
      </c>
      <c r="D743" s="142" t="s">
        <v>256</v>
      </c>
      <c r="E743" s="158" t="s">
        <v>380</v>
      </c>
      <c r="F743" s="142" t="s">
        <v>142</v>
      </c>
      <c r="G743" s="144">
        <v>109901</v>
      </c>
      <c r="H743" s="141" t="s">
        <v>102</v>
      </c>
      <c r="I743" s="141" t="s">
        <v>276</v>
      </c>
      <c r="J743" s="159" t="s">
        <v>248</v>
      </c>
      <c r="K743" s="160">
        <v>0</v>
      </c>
      <c r="L743" s="141"/>
      <c r="M743" s="161">
        <v>78914.97</v>
      </c>
      <c r="N743" s="161">
        <v>3000</v>
      </c>
      <c r="O743" s="161">
        <v>3000</v>
      </c>
      <c r="P743" s="161">
        <v>6000</v>
      </c>
      <c r="Q743" s="104">
        <f t="shared" si="46"/>
        <v>72914.97</v>
      </c>
      <c r="R743" s="104"/>
    </row>
    <row r="744" spans="1:19" ht="15" x14ac:dyDescent="0.25">
      <c r="A744" s="141" t="s">
        <v>148</v>
      </c>
      <c r="B744" s="141" t="s">
        <v>327</v>
      </c>
      <c r="C744" s="141" t="s">
        <v>257</v>
      </c>
      <c r="D744" s="142" t="s">
        <v>256</v>
      </c>
      <c r="E744" s="158" t="s">
        <v>380</v>
      </c>
      <c r="F744" s="142" t="s">
        <v>142</v>
      </c>
      <c r="G744" s="144">
        <v>109901</v>
      </c>
      <c r="H744" s="141" t="s">
        <v>102</v>
      </c>
      <c r="I744" s="141" t="s">
        <v>276</v>
      </c>
      <c r="J744" s="159" t="s">
        <v>248</v>
      </c>
      <c r="K744" s="160">
        <v>22106</v>
      </c>
      <c r="L744" s="141"/>
      <c r="M744" s="161">
        <v>157.91999999999999</v>
      </c>
      <c r="N744" s="161">
        <v>0</v>
      </c>
      <c r="O744" s="161">
        <v>0</v>
      </c>
      <c r="P744" s="161">
        <v>0</v>
      </c>
      <c r="Q744" s="104">
        <f t="shared" si="46"/>
        <v>157.91999999999999</v>
      </c>
      <c r="R744" s="104"/>
    </row>
    <row r="745" spans="1:19" ht="15" x14ac:dyDescent="0.25">
      <c r="A745" s="141" t="s">
        <v>148</v>
      </c>
      <c r="B745" s="141" t="s">
        <v>327</v>
      </c>
      <c r="C745" s="141" t="s">
        <v>257</v>
      </c>
      <c r="D745" s="142" t="s">
        <v>256</v>
      </c>
      <c r="E745" s="158" t="s">
        <v>380</v>
      </c>
      <c r="F745" s="142" t="s">
        <v>142</v>
      </c>
      <c r="G745" s="144">
        <v>109901</v>
      </c>
      <c r="H745" s="141" t="s">
        <v>102</v>
      </c>
      <c r="I745" s="141" t="s">
        <v>276</v>
      </c>
      <c r="J745" s="159" t="s">
        <v>248</v>
      </c>
      <c r="K745" s="160">
        <v>24209</v>
      </c>
      <c r="L745" s="141"/>
      <c r="M745" s="161">
        <v>710.49</v>
      </c>
      <c r="N745" s="161">
        <v>0</v>
      </c>
      <c r="O745" s="161">
        <v>0</v>
      </c>
      <c r="P745" s="161">
        <v>0</v>
      </c>
      <c r="Q745" s="104">
        <f t="shared" si="46"/>
        <v>710.49</v>
      </c>
      <c r="R745" s="104"/>
    </row>
    <row r="746" spans="1:19" ht="15" x14ac:dyDescent="0.25">
      <c r="A746" s="141" t="s">
        <v>148</v>
      </c>
      <c r="B746" s="141" t="s">
        <v>327</v>
      </c>
      <c r="C746" s="141" t="s">
        <v>257</v>
      </c>
      <c r="D746" s="142" t="s">
        <v>256</v>
      </c>
      <c r="E746" s="158" t="s">
        <v>380</v>
      </c>
      <c r="F746" s="142" t="s">
        <v>142</v>
      </c>
      <c r="G746" s="144">
        <v>109901</v>
      </c>
      <c r="H746" s="141" t="s">
        <v>102</v>
      </c>
      <c r="I746" s="141" t="s">
        <v>276</v>
      </c>
      <c r="J746" s="159" t="s">
        <v>248</v>
      </c>
      <c r="K746" s="160">
        <v>24210</v>
      </c>
      <c r="L746" s="141"/>
      <c r="M746" s="161">
        <v>281.48</v>
      </c>
      <c r="N746" s="161">
        <v>0</v>
      </c>
      <c r="O746" s="161">
        <v>0</v>
      </c>
      <c r="P746" s="161">
        <v>0</v>
      </c>
      <c r="Q746" s="104">
        <f t="shared" si="46"/>
        <v>281.48</v>
      </c>
      <c r="R746" s="104"/>
    </row>
    <row r="747" spans="1:19" ht="15" x14ac:dyDescent="0.25">
      <c r="A747" s="141" t="s">
        <v>148</v>
      </c>
      <c r="B747" s="141" t="s">
        <v>327</v>
      </c>
      <c r="C747" s="141" t="s">
        <v>257</v>
      </c>
      <c r="D747" s="142" t="s">
        <v>256</v>
      </c>
      <c r="E747" s="158" t="s">
        <v>380</v>
      </c>
      <c r="F747" s="142" t="s">
        <v>142</v>
      </c>
      <c r="G747" s="144">
        <v>109901</v>
      </c>
      <c r="H747" s="141" t="s">
        <v>102</v>
      </c>
      <c r="I747" s="141" t="s">
        <v>276</v>
      </c>
      <c r="J747" s="159" t="s">
        <v>303</v>
      </c>
      <c r="K747" s="160">
        <v>0</v>
      </c>
      <c r="L747" s="141"/>
      <c r="M747" s="161">
        <v>619.32000000000005</v>
      </c>
      <c r="N747" s="161">
        <v>0</v>
      </c>
      <c r="O747" s="161">
        <v>0</v>
      </c>
      <c r="P747" s="161">
        <v>0</v>
      </c>
      <c r="Q747" s="104">
        <f t="shared" si="46"/>
        <v>619.32000000000005</v>
      </c>
      <c r="R747" s="104"/>
    </row>
    <row r="748" spans="1:19" ht="15" x14ac:dyDescent="0.25">
      <c r="A748" s="141" t="s">
        <v>148</v>
      </c>
      <c r="B748" s="141" t="s">
        <v>328</v>
      </c>
      <c r="C748" s="141" t="s">
        <v>258</v>
      </c>
      <c r="D748" s="142" t="s">
        <v>256</v>
      </c>
      <c r="E748" s="158" t="s">
        <v>380</v>
      </c>
      <c r="F748" s="142" t="s">
        <v>142</v>
      </c>
      <c r="G748" s="141">
        <v>101001</v>
      </c>
      <c r="H748" s="141" t="s">
        <v>104</v>
      </c>
      <c r="I748" s="141" t="s">
        <v>276</v>
      </c>
      <c r="J748" s="159" t="s">
        <v>248</v>
      </c>
      <c r="K748" s="160">
        <v>0</v>
      </c>
      <c r="L748" s="141"/>
      <c r="M748" s="161">
        <v>184739.22</v>
      </c>
      <c r="N748" s="161">
        <v>555000</v>
      </c>
      <c r="O748" s="161">
        <v>5000</v>
      </c>
      <c r="P748" s="161">
        <v>560000</v>
      </c>
      <c r="Q748" s="104">
        <f t="shared" si="46"/>
        <v>-375260.78</v>
      </c>
      <c r="R748" s="104"/>
      <c r="S748" s="66">
        <f t="shared" si="47"/>
        <v>21078.745002000003</v>
      </c>
    </row>
    <row r="749" spans="1:19" ht="15" x14ac:dyDescent="0.25">
      <c r="A749" s="141" t="s">
        <v>148</v>
      </c>
      <c r="B749" s="141" t="s">
        <v>328</v>
      </c>
      <c r="C749" s="141" t="s">
        <v>258</v>
      </c>
      <c r="D749" s="142" t="s">
        <v>256</v>
      </c>
      <c r="E749" s="158" t="s">
        <v>380</v>
      </c>
      <c r="F749" s="142" t="s">
        <v>142</v>
      </c>
      <c r="G749" s="141">
        <v>104000</v>
      </c>
      <c r="H749" s="141" t="s">
        <v>110</v>
      </c>
      <c r="I749" s="141" t="s">
        <v>276</v>
      </c>
      <c r="J749" s="159" t="s">
        <v>248</v>
      </c>
      <c r="K749" s="160">
        <v>0</v>
      </c>
      <c r="L749" s="141"/>
      <c r="M749" s="161">
        <v>-1957.02</v>
      </c>
      <c r="N749" s="161">
        <v>0</v>
      </c>
      <c r="O749" s="161">
        <v>0</v>
      </c>
      <c r="P749" s="161">
        <v>0</v>
      </c>
      <c r="Q749" s="104">
        <f t="shared" si="46"/>
        <v>-1957.02</v>
      </c>
      <c r="R749" s="104"/>
      <c r="S749" s="66">
        <f t="shared" si="47"/>
        <v>-223.29598200000001</v>
      </c>
    </row>
    <row r="750" spans="1:19" ht="15" x14ac:dyDescent="0.25">
      <c r="A750" s="141" t="s">
        <v>148</v>
      </c>
      <c r="B750" s="141" t="s">
        <v>328</v>
      </c>
      <c r="C750" s="141" t="s">
        <v>258</v>
      </c>
      <c r="D750" s="142" t="s">
        <v>256</v>
      </c>
      <c r="E750" s="158" t="s">
        <v>380</v>
      </c>
      <c r="F750" s="142" t="s">
        <v>142</v>
      </c>
      <c r="G750" s="141">
        <v>105019</v>
      </c>
      <c r="H750" s="141" t="s">
        <v>111</v>
      </c>
      <c r="I750" s="141" t="s">
        <v>276</v>
      </c>
      <c r="J750" s="159" t="s">
        <v>248</v>
      </c>
      <c r="K750" s="160">
        <v>0</v>
      </c>
      <c r="L750" s="141"/>
      <c r="M750" s="161">
        <v>0</v>
      </c>
      <c r="N750" s="161">
        <v>12000</v>
      </c>
      <c r="O750" s="161">
        <v>0</v>
      </c>
      <c r="P750" s="161">
        <v>12000</v>
      </c>
      <c r="Q750" s="104">
        <f t="shared" si="46"/>
        <v>-12000</v>
      </c>
      <c r="R750" s="104"/>
      <c r="S750" s="66">
        <f t="shared" si="47"/>
        <v>0</v>
      </c>
    </row>
    <row r="751" spans="1:19" ht="15" x14ac:dyDescent="0.25">
      <c r="A751" s="141" t="s">
        <v>148</v>
      </c>
      <c r="B751" s="141" t="s">
        <v>328</v>
      </c>
      <c r="C751" s="141" t="s">
        <v>258</v>
      </c>
      <c r="D751" s="142" t="s">
        <v>256</v>
      </c>
      <c r="E751" s="158" t="s">
        <v>380</v>
      </c>
      <c r="F751" s="142" t="s">
        <v>142</v>
      </c>
      <c r="G751" s="144">
        <v>109001</v>
      </c>
      <c r="H751" s="141" t="s">
        <v>101</v>
      </c>
      <c r="I751" s="141" t="s">
        <v>276</v>
      </c>
      <c r="J751" s="159" t="s">
        <v>248</v>
      </c>
      <c r="K751" s="160">
        <v>0</v>
      </c>
      <c r="L751" s="141"/>
      <c r="M751" s="161">
        <v>17192.62</v>
      </c>
      <c r="N751" s="161">
        <v>54000</v>
      </c>
      <c r="O751" s="161">
        <v>-2000</v>
      </c>
      <c r="P751" s="161">
        <v>52000</v>
      </c>
      <c r="Q751" s="104">
        <f t="shared" si="46"/>
        <v>-34807.380000000005</v>
      </c>
      <c r="R751" s="129">
        <f>M751*-1.141</f>
        <v>-19616.779419999999</v>
      </c>
    </row>
    <row r="752" spans="1:19" ht="15" x14ac:dyDescent="0.25">
      <c r="A752" s="141" t="s">
        <v>148</v>
      </c>
      <c r="B752" s="141" t="s">
        <v>328</v>
      </c>
      <c r="C752" s="141" t="s">
        <v>258</v>
      </c>
      <c r="D752" s="142" t="s">
        <v>256</v>
      </c>
      <c r="E752" s="158" t="s">
        <v>380</v>
      </c>
      <c r="F752" s="142" t="s">
        <v>142</v>
      </c>
      <c r="G752" s="144">
        <v>109901</v>
      </c>
      <c r="H752" s="141" t="s">
        <v>102</v>
      </c>
      <c r="I752" s="141" t="s">
        <v>276</v>
      </c>
      <c r="J752" s="159" t="s">
        <v>248</v>
      </c>
      <c r="K752" s="160">
        <v>0</v>
      </c>
      <c r="L752" s="141"/>
      <c r="M752" s="161">
        <v>28073.37</v>
      </c>
      <c r="N752" s="161">
        <v>87000</v>
      </c>
      <c r="O752" s="161">
        <v>1000</v>
      </c>
      <c r="P752" s="161">
        <v>88000</v>
      </c>
      <c r="Q752" s="104">
        <f t="shared" si="46"/>
        <v>-59926.630000000005</v>
      </c>
      <c r="R752" s="104"/>
    </row>
    <row r="753" spans="1:19" ht="15" x14ac:dyDescent="0.25">
      <c r="A753" s="141" t="s">
        <v>148</v>
      </c>
      <c r="B753" s="141" t="s">
        <v>329</v>
      </c>
      <c r="C753" s="141" t="s">
        <v>150</v>
      </c>
      <c r="D753" s="142" t="s">
        <v>242</v>
      </c>
      <c r="E753" s="158" t="s">
        <v>381</v>
      </c>
      <c r="F753" s="142" t="s">
        <v>142</v>
      </c>
      <c r="G753" s="141">
        <v>101001</v>
      </c>
      <c r="H753" s="141" t="s">
        <v>104</v>
      </c>
      <c r="I753" s="141" t="s">
        <v>276</v>
      </c>
      <c r="J753" s="159" t="s">
        <v>248</v>
      </c>
      <c r="K753" s="160">
        <v>0</v>
      </c>
      <c r="L753" s="141"/>
      <c r="M753" s="165">
        <v>242059.62</v>
      </c>
      <c r="N753" s="161">
        <v>0</v>
      </c>
      <c r="O753" s="161">
        <v>0</v>
      </c>
      <c r="P753" s="161">
        <v>0</v>
      </c>
      <c r="Q753" s="104">
        <f t="shared" si="46"/>
        <v>242059.62</v>
      </c>
      <c r="R753" s="104"/>
      <c r="S753" s="66">
        <f t="shared" si="47"/>
        <v>27619.002641999999</v>
      </c>
    </row>
    <row r="754" spans="1:19" ht="15" x14ac:dyDescent="0.25">
      <c r="A754" s="141" t="s">
        <v>148</v>
      </c>
      <c r="B754" s="141" t="s">
        <v>329</v>
      </c>
      <c r="C754" s="141" t="s">
        <v>150</v>
      </c>
      <c r="D754" s="142" t="s">
        <v>242</v>
      </c>
      <c r="E754" s="158" t="s">
        <v>381</v>
      </c>
      <c r="F754" s="142" t="s">
        <v>142</v>
      </c>
      <c r="G754" s="141">
        <v>102001</v>
      </c>
      <c r="H754" s="141" t="s">
        <v>143</v>
      </c>
      <c r="I754" s="141" t="s">
        <v>276</v>
      </c>
      <c r="J754" s="159" t="s">
        <v>248</v>
      </c>
      <c r="K754" s="160">
        <v>0</v>
      </c>
      <c r="L754" s="141"/>
      <c r="M754" s="165">
        <v>915.14</v>
      </c>
      <c r="N754" s="161">
        <v>0</v>
      </c>
      <c r="O754" s="161">
        <v>0</v>
      </c>
      <c r="P754" s="161">
        <v>0</v>
      </c>
      <c r="Q754" s="104">
        <f t="shared" si="46"/>
        <v>915.14</v>
      </c>
      <c r="R754" s="104"/>
      <c r="S754" s="66">
        <f t="shared" si="47"/>
        <v>104.41747400000001</v>
      </c>
    </row>
    <row r="755" spans="1:19" ht="15" x14ac:dyDescent="0.25">
      <c r="A755" s="141" t="s">
        <v>148</v>
      </c>
      <c r="B755" s="141" t="s">
        <v>329</v>
      </c>
      <c r="C755" s="141" t="s">
        <v>150</v>
      </c>
      <c r="D755" s="142" t="s">
        <v>242</v>
      </c>
      <c r="E755" s="158" t="s">
        <v>381</v>
      </c>
      <c r="F755" s="142" t="s">
        <v>142</v>
      </c>
      <c r="G755" s="141">
        <v>103001</v>
      </c>
      <c r="H755" s="141" t="s">
        <v>109</v>
      </c>
      <c r="I755" s="141" t="s">
        <v>276</v>
      </c>
      <c r="J755" s="159" t="s">
        <v>248</v>
      </c>
      <c r="K755" s="160">
        <v>0</v>
      </c>
      <c r="L755" s="141"/>
      <c r="M755" s="165">
        <v>56324.47</v>
      </c>
      <c r="N755" s="161">
        <v>0</v>
      </c>
      <c r="O755" s="161">
        <v>0</v>
      </c>
      <c r="P755" s="161">
        <v>0</v>
      </c>
      <c r="Q755" s="104">
        <f t="shared" si="46"/>
        <v>56324.47</v>
      </c>
      <c r="R755" s="104"/>
      <c r="S755" s="66">
        <f t="shared" si="47"/>
        <v>6426.6220270000003</v>
      </c>
    </row>
    <row r="756" spans="1:19" ht="15" x14ac:dyDescent="0.25">
      <c r="A756" s="141" t="s">
        <v>148</v>
      </c>
      <c r="B756" s="141" t="s">
        <v>329</v>
      </c>
      <c r="C756" s="141" t="s">
        <v>150</v>
      </c>
      <c r="D756" s="142" t="s">
        <v>242</v>
      </c>
      <c r="E756" s="158" t="s">
        <v>381</v>
      </c>
      <c r="F756" s="142" t="s">
        <v>142</v>
      </c>
      <c r="G756" s="141">
        <v>104000</v>
      </c>
      <c r="H756" s="141" t="s">
        <v>110</v>
      </c>
      <c r="I756" s="141" t="s">
        <v>276</v>
      </c>
      <c r="J756" s="159" t="s">
        <v>248</v>
      </c>
      <c r="K756" s="160">
        <v>0</v>
      </c>
      <c r="L756" s="141"/>
      <c r="M756" s="165">
        <v>7412.65</v>
      </c>
      <c r="N756" s="161">
        <v>0</v>
      </c>
      <c r="O756" s="161">
        <v>0</v>
      </c>
      <c r="P756" s="161">
        <v>0</v>
      </c>
      <c r="Q756" s="104">
        <f t="shared" si="46"/>
        <v>7412.65</v>
      </c>
      <c r="R756" s="129"/>
      <c r="S756" s="66">
        <f t="shared" si="47"/>
        <v>845.783365</v>
      </c>
    </row>
    <row r="757" spans="1:19" ht="15" x14ac:dyDescent="0.25">
      <c r="A757" s="141" t="s">
        <v>148</v>
      </c>
      <c r="B757" s="141" t="s">
        <v>329</v>
      </c>
      <c r="C757" s="141" t="s">
        <v>150</v>
      </c>
      <c r="D757" s="142" t="s">
        <v>242</v>
      </c>
      <c r="E757" s="158" t="s">
        <v>381</v>
      </c>
      <c r="F757" s="142" t="s">
        <v>142</v>
      </c>
      <c r="G757" s="141">
        <v>105001</v>
      </c>
      <c r="H757" s="141" t="s">
        <v>145</v>
      </c>
      <c r="I757" s="141" t="s">
        <v>276</v>
      </c>
      <c r="J757" s="159" t="s">
        <v>248</v>
      </c>
      <c r="K757" s="160">
        <v>0</v>
      </c>
      <c r="L757" s="141"/>
      <c r="M757" s="165">
        <v>4875.22</v>
      </c>
      <c r="N757" s="161">
        <v>0</v>
      </c>
      <c r="O757" s="161">
        <v>0</v>
      </c>
      <c r="P757" s="161">
        <v>0</v>
      </c>
      <c r="Q757" s="104">
        <f t="shared" si="46"/>
        <v>4875.22</v>
      </c>
      <c r="R757" s="129"/>
      <c r="S757" s="66">
        <f t="shared" si="47"/>
        <v>556.26260200000002</v>
      </c>
    </row>
    <row r="758" spans="1:19" ht="15" x14ac:dyDescent="0.25">
      <c r="A758" s="141" t="s">
        <v>148</v>
      </c>
      <c r="B758" s="141" t="s">
        <v>329</v>
      </c>
      <c r="C758" s="141" t="s">
        <v>150</v>
      </c>
      <c r="D758" s="142" t="s">
        <v>242</v>
      </c>
      <c r="E758" s="158" t="s">
        <v>381</v>
      </c>
      <c r="F758" s="142" t="s">
        <v>142</v>
      </c>
      <c r="G758" s="141">
        <v>107001</v>
      </c>
      <c r="H758" s="141" t="s">
        <v>151</v>
      </c>
      <c r="I758" s="141" t="s">
        <v>276</v>
      </c>
      <c r="J758" s="159" t="s">
        <v>248</v>
      </c>
      <c r="K758" s="160">
        <v>0</v>
      </c>
      <c r="L758" s="141"/>
      <c r="M758" s="165">
        <v>27554.63</v>
      </c>
      <c r="N758" s="161">
        <v>0</v>
      </c>
      <c r="O758" s="161">
        <v>0</v>
      </c>
      <c r="P758" s="161">
        <v>0</v>
      </c>
      <c r="Q758" s="104">
        <f t="shared" si="46"/>
        <v>27554.63</v>
      </c>
      <c r="R758" s="129"/>
      <c r="S758" s="66">
        <f t="shared" si="47"/>
        <v>3143.9832830000005</v>
      </c>
    </row>
    <row r="759" spans="1:19" ht="15" x14ac:dyDescent="0.25">
      <c r="A759" s="141" t="s">
        <v>148</v>
      </c>
      <c r="B759" s="141" t="s">
        <v>329</v>
      </c>
      <c r="C759" s="141" t="s">
        <v>150</v>
      </c>
      <c r="D759" s="142" t="s">
        <v>242</v>
      </c>
      <c r="E759" s="158" t="s">
        <v>381</v>
      </c>
      <c r="F759" s="142" t="s">
        <v>142</v>
      </c>
      <c r="G759" s="144">
        <v>109001</v>
      </c>
      <c r="H759" s="141" t="s">
        <v>101</v>
      </c>
      <c r="I759" s="141" t="s">
        <v>276</v>
      </c>
      <c r="J759" s="159" t="s">
        <v>248</v>
      </c>
      <c r="K759" s="160">
        <v>0</v>
      </c>
      <c r="L759" s="141"/>
      <c r="M759" s="165">
        <v>28295.57</v>
      </c>
      <c r="N759" s="161">
        <v>0</v>
      </c>
      <c r="O759" s="161">
        <v>0</v>
      </c>
      <c r="P759" s="161">
        <v>0</v>
      </c>
      <c r="Q759" s="104">
        <f t="shared" si="46"/>
        <v>28295.57</v>
      </c>
      <c r="R759" s="129">
        <f>M759*-1.141</f>
        <v>-32285.245370000001</v>
      </c>
    </row>
    <row r="760" spans="1:19" ht="15" x14ac:dyDescent="0.25">
      <c r="A760" s="141" t="s">
        <v>148</v>
      </c>
      <c r="B760" s="141" t="s">
        <v>329</v>
      </c>
      <c r="C760" s="141" t="s">
        <v>150</v>
      </c>
      <c r="D760" s="142" t="s">
        <v>242</v>
      </c>
      <c r="E760" s="158" t="s">
        <v>381</v>
      </c>
      <c r="F760" s="142" t="s">
        <v>142</v>
      </c>
      <c r="G760" s="144">
        <v>109901</v>
      </c>
      <c r="H760" s="141" t="s">
        <v>102</v>
      </c>
      <c r="I760" s="141" t="s">
        <v>276</v>
      </c>
      <c r="J760" s="159" t="s">
        <v>248</v>
      </c>
      <c r="K760" s="160">
        <v>0</v>
      </c>
      <c r="L760" s="141"/>
      <c r="M760" s="165">
        <v>49322.5</v>
      </c>
      <c r="N760" s="161">
        <v>0</v>
      </c>
      <c r="O760" s="161">
        <v>0</v>
      </c>
      <c r="P760" s="161">
        <v>0</v>
      </c>
      <c r="Q760" s="104">
        <f t="shared" si="46"/>
        <v>49322.5</v>
      </c>
      <c r="R760" s="129"/>
    </row>
    <row r="761" spans="1:19" ht="15" x14ac:dyDescent="0.25">
      <c r="A761" s="141" t="s">
        <v>148</v>
      </c>
      <c r="B761" s="141" t="s">
        <v>330</v>
      </c>
      <c r="C761" s="141" t="s">
        <v>331</v>
      </c>
      <c r="D761" s="142" t="s">
        <v>242</v>
      </c>
      <c r="E761" s="158" t="s">
        <v>381</v>
      </c>
      <c r="F761" s="142" t="s">
        <v>142</v>
      </c>
      <c r="G761" s="141">
        <v>101001</v>
      </c>
      <c r="H761" s="141" t="s">
        <v>104</v>
      </c>
      <c r="I761" s="141" t="s">
        <v>276</v>
      </c>
      <c r="J761" s="159" t="s">
        <v>248</v>
      </c>
      <c r="K761" s="160">
        <v>0</v>
      </c>
      <c r="L761" s="141"/>
      <c r="M761" s="165">
        <v>39744.39</v>
      </c>
      <c r="N761" s="161">
        <v>0</v>
      </c>
      <c r="O761" s="161">
        <v>0</v>
      </c>
      <c r="P761" s="161">
        <v>0</v>
      </c>
      <c r="Q761" s="104">
        <f t="shared" si="46"/>
        <v>39744.39</v>
      </c>
      <c r="R761" s="129"/>
      <c r="S761" s="66">
        <f t="shared" si="47"/>
        <v>4534.8348990000004</v>
      </c>
    </row>
    <row r="762" spans="1:19" ht="15" x14ac:dyDescent="0.25">
      <c r="A762" s="141" t="s">
        <v>148</v>
      </c>
      <c r="B762" s="141" t="s">
        <v>330</v>
      </c>
      <c r="C762" s="141" t="s">
        <v>331</v>
      </c>
      <c r="D762" s="142" t="s">
        <v>242</v>
      </c>
      <c r="E762" s="158" t="s">
        <v>381</v>
      </c>
      <c r="F762" s="142" t="s">
        <v>142</v>
      </c>
      <c r="G762" s="141">
        <v>104000</v>
      </c>
      <c r="H762" s="141" t="s">
        <v>110</v>
      </c>
      <c r="I762" s="141" t="s">
        <v>276</v>
      </c>
      <c r="J762" s="159" t="s">
        <v>248</v>
      </c>
      <c r="K762" s="160">
        <v>0</v>
      </c>
      <c r="L762" s="141"/>
      <c r="M762" s="165">
        <v>1321.82</v>
      </c>
      <c r="N762" s="161">
        <v>0</v>
      </c>
      <c r="O762" s="161">
        <v>0</v>
      </c>
      <c r="P762" s="161">
        <v>0</v>
      </c>
      <c r="Q762" s="104">
        <f t="shared" si="46"/>
        <v>1321.82</v>
      </c>
      <c r="R762" s="129"/>
      <c r="S762" s="66">
        <f t="shared" si="47"/>
        <v>150.81966199999999</v>
      </c>
    </row>
    <row r="763" spans="1:19" ht="15" x14ac:dyDescent="0.25">
      <c r="A763" s="141" t="s">
        <v>148</v>
      </c>
      <c r="B763" s="141" t="s">
        <v>330</v>
      </c>
      <c r="C763" s="141" t="s">
        <v>331</v>
      </c>
      <c r="D763" s="142" t="s">
        <v>242</v>
      </c>
      <c r="E763" s="158" t="s">
        <v>381</v>
      </c>
      <c r="F763" s="142" t="s">
        <v>142</v>
      </c>
      <c r="G763" s="141">
        <v>107001</v>
      </c>
      <c r="H763" s="141" t="s">
        <v>151</v>
      </c>
      <c r="I763" s="141" t="s">
        <v>276</v>
      </c>
      <c r="J763" s="159" t="s">
        <v>248</v>
      </c>
      <c r="K763" s="160">
        <v>0</v>
      </c>
      <c r="L763" s="141"/>
      <c r="M763" s="165">
        <v>37724.89</v>
      </c>
      <c r="N763" s="161">
        <v>0</v>
      </c>
      <c r="O763" s="161">
        <v>0</v>
      </c>
      <c r="P763" s="161">
        <v>0</v>
      </c>
      <c r="Q763" s="104">
        <f t="shared" si="46"/>
        <v>37724.89</v>
      </c>
      <c r="R763" s="129"/>
      <c r="S763" s="66">
        <f t="shared" si="47"/>
        <v>4304.4099489999999</v>
      </c>
    </row>
    <row r="764" spans="1:19" ht="15" x14ac:dyDescent="0.25">
      <c r="A764" s="141" t="s">
        <v>148</v>
      </c>
      <c r="B764" s="141" t="s">
        <v>330</v>
      </c>
      <c r="C764" s="141" t="s">
        <v>331</v>
      </c>
      <c r="D764" s="142" t="s">
        <v>242</v>
      </c>
      <c r="E764" s="158" t="s">
        <v>381</v>
      </c>
      <c r="F764" s="142" t="s">
        <v>142</v>
      </c>
      <c r="G764" s="144">
        <v>109001</v>
      </c>
      <c r="H764" s="141" t="s">
        <v>101</v>
      </c>
      <c r="I764" s="141" t="s">
        <v>276</v>
      </c>
      <c r="J764" s="159" t="s">
        <v>248</v>
      </c>
      <c r="K764" s="160">
        <v>0</v>
      </c>
      <c r="L764" s="141"/>
      <c r="M764" s="165">
        <v>5557.52</v>
      </c>
      <c r="N764" s="161">
        <v>0</v>
      </c>
      <c r="O764" s="161">
        <v>0</v>
      </c>
      <c r="P764" s="161">
        <v>0</v>
      </c>
      <c r="Q764" s="104">
        <f t="shared" si="46"/>
        <v>5557.52</v>
      </c>
      <c r="R764" s="129">
        <f>M764*-1.141</f>
        <v>-6341.1303200000002</v>
      </c>
    </row>
    <row r="765" spans="1:19" ht="15" x14ac:dyDescent="0.25">
      <c r="A765" s="141" t="s">
        <v>148</v>
      </c>
      <c r="B765" s="141" t="s">
        <v>330</v>
      </c>
      <c r="C765" s="141" t="s">
        <v>331</v>
      </c>
      <c r="D765" s="142" t="s">
        <v>242</v>
      </c>
      <c r="E765" s="158" t="s">
        <v>381</v>
      </c>
      <c r="F765" s="142" t="s">
        <v>142</v>
      </c>
      <c r="G765" s="144">
        <v>109901</v>
      </c>
      <c r="H765" s="141" t="s">
        <v>102</v>
      </c>
      <c r="I765" s="141" t="s">
        <v>276</v>
      </c>
      <c r="J765" s="159" t="s">
        <v>248</v>
      </c>
      <c r="K765" s="160">
        <v>0</v>
      </c>
      <c r="L765" s="141"/>
      <c r="M765" s="165">
        <v>11863.67</v>
      </c>
      <c r="N765" s="161">
        <v>0</v>
      </c>
      <c r="O765" s="161">
        <v>0</v>
      </c>
      <c r="P765" s="161">
        <v>0</v>
      </c>
      <c r="Q765" s="104">
        <f t="shared" si="46"/>
        <v>11863.67</v>
      </c>
      <c r="R765" s="129"/>
    </row>
    <row r="766" spans="1:19" ht="15" x14ac:dyDescent="0.25">
      <c r="A766" s="141" t="s">
        <v>148</v>
      </c>
      <c r="B766" s="141" t="s">
        <v>332</v>
      </c>
      <c r="C766" s="141" t="s">
        <v>259</v>
      </c>
      <c r="D766" s="142" t="s">
        <v>242</v>
      </c>
      <c r="E766" s="158" t="s">
        <v>381</v>
      </c>
      <c r="F766" s="142" t="s">
        <v>142</v>
      </c>
      <c r="G766" s="141">
        <v>101001</v>
      </c>
      <c r="H766" s="141" t="s">
        <v>104</v>
      </c>
      <c r="I766" s="141" t="s">
        <v>276</v>
      </c>
      <c r="J766" s="159" t="s">
        <v>248</v>
      </c>
      <c r="K766" s="160">
        <v>0</v>
      </c>
      <c r="L766" s="141"/>
      <c r="M766" s="165">
        <v>11009.12</v>
      </c>
      <c r="N766" s="161">
        <v>0</v>
      </c>
      <c r="O766" s="161">
        <v>0</v>
      </c>
      <c r="P766" s="161">
        <v>0</v>
      </c>
      <c r="Q766" s="104">
        <f t="shared" si="46"/>
        <v>11009.12</v>
      </c>
      <c r="R766" s="104"/>
      <c r="S766" s="66">
        <f t="shared" si="47"/>
        <v>1256.140592</v>
      </c>
    </row>
    <row r="767" spans="1:19" ht="15" x14ac:dyDescent="0.25">
      <c r="A767" s="141" t="s">
        <v>148</v>
      </c>
      <c r="B767" s="141" t="s">
        <v>332</v>
      </c>
      <c r="C767" s="141" t="s">
        <v>259</v>
      </c>
      <c r="D767" s="142" t="s">
        <v>242</v>
      </c>
      <c r="E767" s="158" t="s">
        <v>381</v>
      </c>
      <c r="F767" s="142" t="s">
        <v>142</v>
      </c>
      <c r="G767" s="141">
        <v>104000</v>
      </c>
      <c r="H767" s="141" t="s">
        <v>110</v>
      </c>
      <c r="I767" s="141" t="s">
        <v>276</v>
      </c>
      <c r="J767" s="159" t="s">
        <v>248</v>
      </c>
      <c r="K767" s="160">
        <v>0</v>
      </c>
      <c r="L767" s="141"/>
      <c r="M767" s="165">
        <v>41.34</v>
      </c>
      <c r="N767" s="161">
        <v>0</v>
      </c>
      <c r="O767" s="161">
        <v>0</v>
      </c>
      <c r="P767" s="161">
        <v>0</v>
      </c>
      <c r="Q767" s="104">
        <f t="shared" si="46"/>
        <v>41.34</v>
      </c>
      <c r="R767" s="129"/>
      <c r="S767" s="66">
        <f t="shared" si="47"/>
        <v>4.7168940000000008</v>
      </c>
    </row>
    <row r="768" spans="1:19" ht="15" x14ac:dyDescent="0.25">
      <c r="A768" s="141" t="s">
        <v>148</v>
      </c>
      <c r="B768" s="141" t="s">
        <v>332</v>
      </c>
      <c r="C768" s="141" t="s">
        <v>259</v>
      </c>
      <c r="D768" s="142" t="s">
        <v>242</v>
      </c>
      <c r="E768" s="158" t="s">
        <v>381</v>
      </c>
      <c r="F768" s="142" t="s">
        <v>142</v>
      </c>
      <c r="G768" s="141">
        <v>107001</v>
      </c>
      <c r="H768" s="141" t="s">
        <v>151</v>
      </c>
      <c r="I768" s="141" t="s">
        <v>276</v>
      </c>
      <c r="J768" s="159" t="s">
        <v>248</v>
      </c>
      <c r="K768" s="160">
        <v>0</v>
      </c>
      <c r="L768" s="141"/>
      <c r="M768" s="165">
        <v>18793.8</v>
      </c>
      <c r="N768" s="161">
        <v>0</v>
      </c>
      <c r="O768" s="161">
        <v>0</v>
      </c>
      <c r="P768" s="161">
        <v>0</v>
      </c>
      <c r="Q768" s="104">
        <f t="shared" si="46"/>
        <v>18793.8</v>
      </c>
      <c r="R768" s="129"/>
      <c r="S768" s="66">
        <f t="shared" si="47"/>
        <v>2144.3725800000002</v>
      </c>
    </row>
    <row r="769" spans="1:19" ht="15" x14ac:dyDescent="0.25">
      <c r="A769" s="141" t="s">
        <v>148</v>
      </c>
      <c r="B769" s="141" t="s">
        <v>332</v>
      </c>
      <c r="C769" s="141" t="s">
        <v>259</v>
      </c>
      <c r="D769" s="142" t="s">
        <v>242</v>
      </c>
      <c r="E769" s="158" t="s">
        <v>381</v>
      </c>
      <c r="F769" s="142" t="s">
        <v>142</v>
      </c>
      <c r="G769" s="144">
        <v>109001</v>
      </c>
      <c r="H769" s="141" t="s">
        <v>101</v>
      </c>
      <c r="I769" s="141" t="s">
        <v>276</v>
      </c>
      <c r="J769" s="159" t="s">
        <v>248</v>
      </c>
      <c r="K769" s="160">
        <v>0</v>
      </c>
      <c r="L769" s="141"/>
      <c r="M769" s="165">
        <v>2667.6</v>
      </c>
      <c r="N769" s="161">
        <v>0</v>
      </c>
      <c r="O769" s="161">
        <v>0</v>
      </c>
      <c r="P769" s="161">
        <v>0</v>
      </c>
      <c r="Q769" s="104">
        <f t="shared" si="46"/>
        <v>2667.6</v>
      </c>
      <c r="R769" s="129">
        <f>M769*-1.141</f>
        <v>-3043.7316000000001</v>
      </c>
    </row>
    <row r="770" spans="1:19" ht="15" x14ac:dyDescent="0.25">
      <c r="A770" s="141" t="s">
        <v>148</v>
      </c>
      <c r="B770" s="141" t="s">
        <v>332</v>
      </c>
      <c r="C770" s="141" t="s">
        <v>259</v>
      </c>
      <c r="D770" s="142" t="s">
        <v>242</v>
      </c>
      <c r="E770" s="158" t="s">
        <v>381</v>
      </c>
      <c r="F770" s="142" t="s">
        <v>142</v>
      </c>
      <c r="G770" s="144">
        <v>109901</v>
      </c>
      <c r="H770" s="141" t="s">
        <v>102</v>
      </c>
      <c r="I770" s="141" t="s">
        <v>276</v>
      </c>
      <c r="J770" s="159" t="s">
        <v>248</v>
      </c>
      <c r="K770" s="160">
        <v>0</v>
      </c>
      <c r="L770" s="141"/>
      <c r="M770" s="165">
        <v>4384.6899999999996</v>
      </c>
      <c r="N770" s="161">
        <v>0</v>
      </c>
      <c r="O770" s="161">
        <v>0</v>
      </c>
      <c r="P770" s="161">
        <v>0</v>
      </c>
      <c r="Q770" s="104">
        <f t="shared" si="46"/>
        <v>4384.6899999999996</v>
      </c>
      <c r="R770" s="129"/>
    </row>
    <row r="771" spans="1:19" ht="15" x14ac:dyDescent="0.25">
      <c r="A771" s="141" t="s">
        <v>148</v>
      </c>
      <c r="B771" s="141" t="s">
        <v>333</v>
      </c>
      <c r="C771" s="141" t="s">
        <v>334</v>
      </c>
      <c r="D771" s="142" t="s">
        <v>242</v>
      </c>
      <c r="E771" s="158" t="s">
        <v>381</v>
      </c>
      <c r="F771" s="142" t="s">
        <v>142</v>
      </c>
      <c r="G771" s="141">
        <v>101001</v>
      </c>
      <c r="H771" s="141" t="s">
        <v>104</v>
      </c>
      <c r="I771" s="141" t="s">
        <v>276</v>
      </c>
      <c r="J771" s="159" t="s">
        <v>248</v>
      </c>
      <c r="K771" s="160">
        <v>0</v>
      </c>
      <c r="L771" s="141"/>
      <c r="M771" s="162">
        <v>154805.89000000001</v>
      </c>
      <c r="N771" s="161">
        <v>0</v>
      </c>
      <c r="O771" s="161">
        <v>0</v>
      </c>
      <c r="P771" s="161">
        <v>0</v>
      </c>
      <c r="Q771" s="104">
        <f t="shared" si="46"/>
        <v>154805.89000000001</v>
      </c>
      <c r="R771" s="170"/>
      <c r="S771" s="170"/>
    </row>
    <row r="772" spans="1:19" ht="15" x14ac:dyDescent="0.25">
      <c r="A772" s="141" t="s">
        <v>148</v>
      </c>
      <c r="B772" s="141" t="s">
        <v>333</v>
      </c>
      <c r="C772" s="141" t="s">
        <v>334</v>
      </c>
      <c r="D772" s="142" t="s">
        <v>242</v>
      </c>
      <c r="E772" s="158" t="s">
        <v>381</v>
      </c>
      <c r="F772" s="142" t="s">
        <v>142</v>
      </c>
      <c r="G772" s="141">
        <v>105001</v>
      </c>
      <c r="H772" s="141" t="s">
        <v>145</v>
      </c>
      <c r="I772" s="141" t="s">
        <v>276</v>
      </c>
      <c r="J772" s="159" t="s">
        <v>248</v>
      </c>
      <c r="K772" s="160">
        <v>0</v>
      </c>
      <c r="L772" s="141"/>
      <c r="M772" s="162">
        <v>733.81</v>
      </c>
      <c r="N772" s="161">
        <v>0</v>
      </c>
      <c r="O772" s="161">
        <v>0</v>
      </c>
      <c r="P772" s="161">
        <v>0</v>
      </c>
      <c r="Q772" s="104">
        <f t="shared" si="46"/>
        <v>733.81</v>
      </c>
      <c r="R772" s="170"/>
      <c r="S772" s="170"/>
    </row>
    <row r="773" spans="1:19" ht="15" x14ac:dyDescent="0.25">
      <c r="A773" s="141" t="s">
        <v>148</v>
      </c>
      <c r="B773" s="141" t="s">
        <v>333</v>
      </c>
      <c r="C773" s="141" t="s">
        <v>334</v>
      </c>
      <c r="D773" s="142" t="s">
        <v>242</v>
      </c>
      <c r="E773" s="158" t="s">
        <v>381</v>
      </c>
      <c r="F773" s="142" t="s">
        <v>142</v>
      </c>
      <c r="G773" s="141">
        <v>107001</v>
      </c>
      <c r="H773" s="141" t="s">
        <v>151</v>
      </c>
      <c r="I773" s="141" t="s">
        <v>276</v>
      </c>
      <c r="J773" s="159" t="s">
        <v>248</v>
      </c>
      <c r="K773" s="160">
        <v>0</v>
      </c>
      <c r="L773" s="141"/>
      <c r="M773" s="162">
        <v>34881.269999999997</v>
      </c>
      <c r="N773" s="161">
        <v>0</v>
      </c>
      <c r="O773" s="161">
        <v>0</v>
      </c>
      <c r="P773" s="161">
        <v>0</v>
      </c>
      <c r="Q773" s="104">
        <f t="shared" si="46"/>
        <v>34881.269999999997</v>
      </c>
      <c r="R773" s="170"/>
      <c r="S773" s="170"/>
    </row>
    <row r="774" spans="1:19" ht="15" x14ac:dyDescent="0.25">
      <c r="A774" s="141" t="s">
        <v>148</v>
      </c>
      <c r="B774" s="141" t="s">
        <v>333</v>
      </c>
      <c r="C774" s="141" t="s">
        <v>334</v>
      </c>
      <c r="D774" s="142" t="s">
        <v>242</v>
      </c>
      <c r="E774" s="158" t="s">
        <v>381</v>
      </c>
      <c r="F774" s="142" t="s">
        <v>142</v>
      </c>
      <c r="G774" s="144">
        <v>109001</v>
      </c>
      <c r="H774" s="141" t="s">
        <v>101</v>
      </c>
      <c r="I774" s="141" t="s">
        <v>276</v>
      </c>
      <c r="J774" s="159" t="s">
        <v>248</v>
      </c>
      <c r="K774" s="160">
        <v>0</v>
      </c>
      <c r="L774" s="141"/>
      <c r="M774" s="162">
        <v>17654.28</v>
      </c>
      <c r="N774" s="161">
        <v>0</v>
      </c>
      <c r="O774" s="161">
        <v>0</v>
      </c>
      <c r="P774" s="161">
        <v>0</v>
      </c>
      <c r="Q774" s="104">
        <f t="shared" si="46"/>
        <v>17654.28</v>
      </c>
      <c r="R774" s="170"/>
      <c r="S774" s="170"/>
    </row>
    <row r="775" spans="1:19" ht="15" x14ac:dyDescent="0.25">
      <c r="A775" s="141" t="s">
        <v>148</v>
      </c>
      <c r="B775" s="141" t="s">
        <v>333</v>
      </c>
      <c r="C775" s="141" t="s">
        <v>334</v>
      </c>
      <c r="D775" s="142" t="s">
        <v>242</v>
      </c>
      <c r="E775" s="158" t="s">
        <v>381</v>
      </c>
      <c r="F775" s="142" t="s">
        <v>142</v>
      </c>
      <c r="G775" s="144">
        <v>109901</v>
      </c>
      <c r="H775" s="141" t="s">
        <v>102</v>
      </c>
      <c r="I775" s="141" t="s">
        <v>276</v>
      </c>
      <c r="J775" s="159" t="s">
        <v>248</v>
      </c>
      <c r="K775" s="160">
        <v>0</v>
      </c>
      <c r="L775" s="141"/>
      <c r="M775" s="162">
        <v>27762.799999999999</v>
      </c>
      <c r="N775" s="161">
        <v>0</v>
      </c>
      <c r="O775" s="161">
        <v>0</v>
      </c>
      <c r="P775" s="161">
        <v>0</v>
      </c>
      <c r="Q775" s="104">
        <f t="shared" si="46"/>
        <v>27762.799999999999</v>
      </c>
      <c r="R775" s="170"/>
      <c r="S775" s="170"/>
    </row>
    <row r="776" spans="1:19" ht="15" x14ac:dyDescent="0.25">
      <c r="A776" s="141" t="s">
        <v>148</v>
      </c>
      <c r="B776" s="141" t="s">
        <v>335</v>
      </c>
      <c r="C776" s="141" t="s">
        <v>217</v>
      </c>
      <c r="D776" s="142" t="s">
        <v>242</v>
      </c>
      <c r="E776" s="158" t="s">
        <v>381</v>
      </c>
      <c r="F776" s="142" t="s">
        <v>142</v>
      </c>
      <c r="G776" s="141">
        <v>101001</v>
      </c>
      <c r="H776" s="141" t="s">
        <v>104</v>
      </c>
      <c r="I776" s="141" t="s">
        <v>276</v>
      </c>
      <c r="J776" s="159" t="s">
        <v>248</v>
      </c>
      <c r="K776" s="160">
        <v>21112</v>
      </c>
      <c r="L776" s="141"/>
      <c r="M776" s="161">
        <v>726.75</v>
      </c>
      <c r="N776" s="161">
        <v>0</v>
      </c>
      <c r="O776" s="161">
        <v>0</v>
      </c>
      <c r="P776" s="161">
        <v>0</v>
      </c>
      <c r="Q776" s="104">
        <f t="shared" ref="Q776:Q839" si="48">M776-P776</f>
        <v>726.75</v>
      </c>
      <c r="R776" s="129"/>
      <c r="S776" s="66">
        <f t="shared" si="47"/>
        <v>82.922174999999996</v>
      </c>
    </row>
    <row r="777" spans="1:19" ht="15" x14ac:dyDescent="0.25">
      <c r="A777" s="141" t="s">
        <v>148</v>
      </c>
      <c r="B777" s="141" t="s">
        <v>335</v>
      </c>
      <c r="C777" s="141" t="s">
        <v>217</v>
      </c>
      <c r="D777" s="142" t="s">
        <v>242</v>
      </c>
      <c r="E777" s="158" t="s">
        <v>381</v>
      </c>
      <c r="F777" s="142" t="s">
        <v>142</v>
      </c>
      <c r="G777" s="141">
        <v>101001</v>
      </c>
      <c r="H777" s="141" t="s">
        <v>104</v>
      </c>
      <c r="I777" s="141" t="s">
        <v>276</v>
      </c>
      <c r="J777" s="159" t="s">
        <v>248</v>
      </c>
      <c r="K777" s="160">
        <v>21404</v>
      </c>
      <c r="L777" s="141"/>
      <c r="M777" s="161">
        <v>5.6</v>
      </c>
      <c r="N777" s="161">
        <v>0</v>
      </c>
      <c r="O777" s="161">
        <v>0</v>
      </c>
      <c r="P777" s="161">
        <v>0</v>
      </c>
      <c r="Q777" s="104">
        <f t="shared" si="48"/>
        <v>5.6</v>
      </c>
      <c r="R777" s="129"/>
      <c r="S777" s="66">
        <f t="shared" ref="S777:S840" si="49">M777*$S$7*1.141</f>
        <v>0.63895999999999997</v>
      </c>
    </row>
    <row r="778" spans="1:19" ht="15" x14ac:dyDescent="0.25">
      <c r="A778" s="141" t="s">
        <v>148</v>
      </c>
      <c r="B778" s="141" t="s">
        <v>335</v>
      </c>
      <c r="C778" s="141" t="s">
        <v>217</v>
      </c>
      <c r="D778" s="142" t="s">
        <v>242</v>
      </c>
      <c r="E778" s="158" t="s">
        <v>381</v>
      </c>
      <c r="F778" s="142" t="s">
        <v>142</v>
      </c>
      <c r="G778" s="141">
        <v>101001</v>
      </c>
      <c r="H778" s="141" t="s">
        <v>104</v>
      </c>
      <c r="I778" s="141" t="s">
        <v>276</v>
      </c>
      <c r="J778" s="159" t="s">
        <v>248</v>
      </c>
      <c r="K778" s="160">
        <v>23203</v>
      </c>
      <c r="L778" s="141"/>
      <c r="M778" s="161">
        <v>244.1</v>
      </c>
      <c r="N778" s="161">
        <v>0</v>
      </c>
      <c r="O778" s="161">
        <v>0</v>
      </c>
      <c r="P778" s="161">
        <v>0</v>
      </c>
      <c r="Q778" s="104">
        <f t="shared" si="48"/>
        <v>244.1</v>
      </c>
      <c r="R778" s="129"/>
      <c r="S778" s="66">
        <f t="shared" si="49"/>
        <v>27.85181</v>
      </c>
    </row>
    <row r="779" spans="1:19" ht="15" x14ac:dyDescent="0.25">
      <c r="A779" s="141" t="s">
        <v>148</v>
      </c>
      <c r="B779" s="141" t="s">
        <v>335</v>
      </c>
      <c r="C779" s="141" t="s">
        <v>217</v>
      </c>
      <c r="D779" s="142" t="s">
        <v>242</v>
      </c>
      <c r="E779" s="158" t="s">
        <v>381</v>
      </c>
      <c r="F779" s="142" t="s">
        <v>142</v>
      </c>
      <c r="G779" s="141">
        <v>101001</v>
      </c>
      <c r="H779" s="141" t="s">
        <v>104</v>
      </c>
      <c r="I779" s="141" t="s">
        <v>276</v>
      </c>
      <c r="J779" s="159" t="s">
        <v>248</v>
      </c>
      <c r="K779" s="160">
        <v>24201</v>
      </c>
      <c r="L779" s="141"/>
      <c r="M779" s="161">
        <v>2249.4899999999998</v>
      </c>
      <c r="N779" s="161">
        <v>0</v>
      </c>
      <c r="O779" s="161">
        <v>0</v>
      </c>
      <c r="P779" s="161">
        <v>0</v>
      </c>
      <c r="Q779" s="104">
        <f t="shared" si="48"/>
        <v>2249.4899999999998</v>
      </c>
      <c r="R779" s="104"/>
      <c r="S779" s="66">
        <f t="shared" si="49"/>
        <v>256.666809</v>
      </c>
    </row>
    <row r="780" spans="1:19" ht="15" x14ac:dyDescent="0.25">
      <c r="A780" s="141" t="s">
        <v>148</v>
      </c>
      <c r="B780" s="141" t="s">
        <v>335</v>
      </c>
      <c r="C780" s="141" t="s">
        <v>217</v>
      </c>
      <c r="D780" s="142" t="s">
        <v>242</v>
      </c>
      <c r="E780" s="158" t="s">
        <v>381</v>
      </c>
      <c r="F780" s="142" t="s">
        <v>142</v>
      </c>
      <c r="G780" s="141">
        <v>101001</v>
      </c>
      <c r="H780" s="141" t="s">
        <v>104</v>
      </c>
      <c r="I780" s="141" t="s">
        <v>276</v>
      </c>
      <c r="J780" s="159" t="s">
        <v>248</v>
      </c>
      <c r="K780" s="160">
        <v>24203</v>
      </c>
      <c r="L780" s="141"/>
      <c r="M780" s="161">
        <v>2491.75</v>
      </c>
      <c r="N780" s="161">
        <v>0</v>
      </c>
      <c r="O780" s="161">
        <v>0</v>
      </c>
      <c r="P780" s="161">
        <v>0</v>
      </c>
      <c r="Q780" s="104">
        <f t="shared" si="48"/>
        <v>2491.75</v>
      </c>
      <c r="R780" s="129"/>
      <c r="S780" s="66">
        <f t="shared" si="49"/>
        <v>284.30867499999999</v>
      </c>
    </row>
    <row r="781" spans="1:19" ht="15" x14ac:dyDescent="0.25">
      <c r="A781" s="141" t="s">
        <v>148</v>
      </c>
      <c r="B781" s="141" t="s">
        <v>335</v>
      </c>
      <c r="C781" s="141" t="s">
        <v>217</v>
      </c>
      <c r="D781" s="142" t="s">
        <v>242</v>
      </c>
      <c r="E781" s="158" t="s">
        <v>381</v>
      </c>
      <c r="F781" s="142" t="s">
        <v>142</v>
      </c>
      <c r="G781" s="141">
        <v>101001</v>
      </c>
      <c r="H781" s="141" t="s">
        <v>104</v>
      </c>
      <c r="I781" s="141" t="s">
        <v>276</v>
      </c>
      <c r="J781" s="159" t="s">
        <v>248</v>
      </c>
      <c r="K781" s="160">
        <v>24206</v>
      </c>
      <c r="L781" s="141"/>
      <c r="M781" s="161">
        <v>1903.42</v>
      </c>
      <c r="N781" s="161">
        <v>0</v>
      </c>
      <c r="O781" s="161">
        <v>0</v>
      </c>
      <c r="P781" s="161">
        <v>0</v>
      </c>
      <c r="Q781" s="104">
        <f t="shared" si="48"/>
        <v>1903.42</v>
      </c>
      <c r="R781" s="129"/>
      <c r="S781" s="66">
        <f t="shared" si="49"/>
        <v>217.18022200000001</v>
      </c>
    </row>
    <row r="782" spans="1:19" ht="15" x14ac:dyDescent="0.25">
      <c r="A782" s="141" t="s">
        <v>148</v>
      </c>
      <c r="B782" s="141" t="s">
        <v>335</v>
      </c>
      <c r="C782" s="141" t="s">
        <v>217</v>
      </c>
      <c r="D782" s="142" t="s">
        <v>242</v>
      </c>
      <c r="E782" s="158" t="s">
        <v>381</v>
      </c>
      <c r="F782" s="142" t="s">
        <v>142</v>
      </c>
      <c r="G782" s="141">
        <v>101001</v>
      </c>
      <c r="H782" s="141" t="s">
        <v>104</v>
      </c>
      <c r="I782" s="141" t="s">
        <v>276</v>
      </c>
      <c r="J782" s="159" t="s">
        <v>248</v>
      </c>
      <c r="K782" s="160">
        <v>24207</v>
      </c>
      <c r="L782" s="141"/>
      <c r="M782" s="161">
        <v>1734.37</v>
      </c>
      <c r="N782" s="161">
        <v>0</v>
      </c>
      <c r="O782" s="161">
        <v>0</v>
      </c>
      <c r="P782" s="161">
        <v>0</v>
      </c>
      <c r="Q782" s="104">
        <f t="shared" si="48"/>
        <v>1734.37</v>
      </c>
      <c r="R782" s="129"/>
      <c r="S782" s="66">
        <f t="shared" si="49"/>
        <v>197.89161700000002</v>
      </c>
    </row>
    <row r="783" spans="1:19" ht="15" x14ac:dyDescent="0.25">
      <c r="A783" s="141" t="s">
        <v>148</v>
      </c>
      <c r="B783" s="141" t="s">
        <v>335</v>
      </c>
      <c r="C783" s="141" t="s">
        <v>217</v>
      </c>
      <c r="D783" s="142" t="s">
        <v>242</v>
      </c>
      <c r="E783" s="158" t="s">
        <v>381</v>
      </c>
      <c r="F783" s="142" t="s">
        <v>142</v>
      </c>
      <c r="G783" s="141">
        <v>101001</v>
      </c>
      <c r="H783" s="141" t="s">
        <v>104</v>
      </c>
      <c r="I783" s="141" t="s">
        <v>276</v>
      </c>
      <c r="J783" s="159" t="s">
        <v>248</v>
      </c>
      <c r="K783" s="160">
        <v>24209</v>
      </c>
      <c r="L783" s="141"/>
      <c r="M783" s="161">
        <v>1557.34</v>
      </c>
      <c r="N783" s="161">
        <v>0</v>
      </c>
      <c r="O783" s="161">
        <v>0</v>
      </c>
      <c r="P783" s="161">
        <v>0</v>
      </c>
      <c r="Q783" s="104">
        <f t="shared" si="48"/>
        <v>1557.34</v>
      </c>
      <c r="R783" s="129"/>
      <c r="S783" s="66">
        <f t="shared" si="49"/>
        <v>177.69249400000001</v>
      </c>
    </row>
    <row r="784" spans="1:19" ht="15" x14ac:dyDescent="0.25">
      <c r="A784" s="141" t="s">
        <v>148</v>
      </c>
      <c r="B784" s="141" t="s">
        <v>335</v>
      </c>
      <c r="C784" s="141" t="s">
        <v>217</v>
      </c>
      <c r="D784" s="142" t="s">
        <v>242</v>
      </c>
      <c r="E784" s="158" t="s">
        <v>381</v>
      </c>
      <c r="F784" s="142" t="s">
        <v>142</v>
      </c>
      <c r="G784" s="141">
        <v>101001</v>
      </c>
      <c r="H784" s="141" t="s">
        <v>104</v>
      </c>
      <c r="I784" s="141" t="s">
        <v>276</v>
      </c>
      <c r="J784" s="159" t="s">
        <v>248</v>
      </c>
      <c r="K784" s="160">
        <v>24210</v>
      </c>
      <c r="L784" s="141"/>
      <c r="M784" s="161">
        <v>2422.5300000000002</v>
      </c>
      <c r="N784" s="161">
        <v>0</v>
      </c>
      <c r="O784" s="161">
        <v>0</v>
      </c>
      <c r="P784" s="161">
        <v>0</v>
      </c>
      <c r="Q784" s="104">
        <f t="shared" si="48"/>
        <v>2422.5300000000002</v>
      </c>
      <c r="R784" s="129"/>
      <c r="S784" s="66">
        <f t="shared" si="49"/>
        <v>276.41067300000003</v>
      </c>
    </row>
    <row r="785" spans="1:19" ht="15" x14ac:dyDescent="0.25">
      <c r="A785" s="141" t="s">
        <v>148</v>
      </c>
      <c r="B785" s="141" t="s">
        <v>335</v>
      </c>
      <c r="C785" s="141" t="s">
        <v>217</v>
      </c>
      <c r="D785" s="142" t="s">
        <v>242</v>
      </c>
      <c r="E785" s="158" t="s">
        <v>381</v>
      </c>
      <c r="F785" s="142" t="s">
        <v>142</v>
      </c>
      <c r="G785" s="141">
        <v>101001</v>
      </c>
      <c r="H785" s="141" t="s">
        <v>104</v>
      </c>
      <c r="I785" s="141" t="s">
        <v>276</v>
      </c>
      <c r="J785" s="159" t="s">
        <v>248</v>
      </c>
      <c r="K785" s="160">
        <v>24212</v>
      </c>
      <c r="L785" s="141"/>
      <c r="M785" s="161">
        <v>761.36</v>
      </c>
      <c r="N785" s="161">
        <v>0</v>
      </c>
      <c r="O785" s="161">
        <v>0</v>
      </c>
      <c r="P785" s="161">
        <v>0</v>
      </c>
      <c r="Q785" s="104">
        <f t="shared" si="48"/>
        <v>761.36</v>
      </c>
      <c r="R785" s="129"/>
      <c r="S785" s="66">
        <f t="shared" si="49"/>
        <v>86.871176000000006</v>
      </c>
    </row>
    <row r="786" spans="1:19" ht="15" x14ac:dyDescent="0.25">
      <c r="A786" s="141" t="s">
        <v>148</v>
      </c>
      <c r="B786" s="141" t="s">
        <v>335</v>
      </c>
      <c r="C786" s="141" t="s">
        <v>217</v>
      </c>
      <c r="D786" s="142" t="s">
        <v>242</v>
      </c>
      <c r="E786" s="158" t="s">
        <v>381</v>
      </c>
      <c r="F786" s="142" t="s">
        <v>142</v>
      </c>
      <c r="G786" s="141">
        <v>101001</v>
      </c>
      <c r="H786" s="141" t="s">
        <v>104</v>
      </c>
      <c r="I786" s="141" t="s">
        <v>276</v>
      </c>
      <c r="J786" s="159" t="s">
        <v>248</v>
      </c>
      <c r="K786" s="160">
        <v>24213</v>
      </c>
      <c r="L786" s="141"/>
      <c r="M786" s="161">
        <v>2249.4899999999998</v>
      </c>
      <c r="N786" s="161">
        <v>0</v>
      </c>
      <c r="O786" s="161">
        <v>0</v>
      </c>
      <c r="P786" s="161">
        <v>0</v>
      </c>
      <c r="Q786" s="104">
        <f t="shared" si="48"/>
        <v>2249.4899999999998</v>
      </c>
      <c r="R786" s="129"/>
      <c r="S786" s="66">
        <f t="shared" si="49"/>
        <v>256.666809</v>
      </c>
    </row>
    <row r="787" spans="1:19" ht="15" x14ac:dyDescent="0.25">
      <c r="A787" s="141" t="s">
        <v>148</v>
      </c>
      <c r="B787" s="141" t="s">
        <v>335</v>
      </c>
      <c r="C787" s="141" t="s">
        <v>217</v>
      </c>
      <c r="D787" s="142" t="s">
        <v>242</v>
      </c>
      <c r="E787" s="158" t="s">
        <v>381</v>
      </c>
      <c r="F787" s="142" t="s">
        <v>142</v>
      </c>
      <c r="G787" s="141">
        <v>101001</v>
      </c>
      <c r="H787" s="141" t="s">
        <v>104</v>
      </c>
      <c r="I787" s="141" t="s">
        <v>276</v>
      </c>
      <c r="J787" s="159" t="s">
        <v>248</v>
      </c>
      <c r="K787" s="160">
        <v>24214</v>
      </c>
      <c r="L787" s="141"/>
      <c r="M787" s="161">
        <v>1834.2</v>
      </c>
      <c r="N787" s="161">
        <v>0</v>
      </c>
      <c r="O787" s="161">
        <v>0</v>
      </c>
      <c r="P787" s="161">
        <v>0</v>
      </c>
      <c r="Q787" s="104">
        <f t="shared" si="48"/>
        <v>1834.2</v>
      </c>
      <c r="R787" s="104"/>
      <c r="S787" s="66">
        <f t="shared" si="49"/>
        <v>209.28222000000002</v>
      </c>
    </row>
    <row r="788" spans="1:19" ht="15" x14ac:dyDescent="0.25">
      <c r="A788" s="141" t="s">
        <v>148</v>
      </c>
      <c r="B788" s="141" t="s">
        <v>335</v>
      </c>
      <c r="C788" s="141" t="s">
        <v>217</v>
      </c>
      <c r="D788" s="142" t="s">
        <v>242</v>
      </c>
      <c r="E788" s="158" t="s">
        <v>381</v>
      </c>
      <c r="F788" s="142" t="s">
        <v>142</v>
      </c>
      <c r="G788" s="141">
        <v>101001</v>
      </c>
      <c r="H788" s="141" t="s">
        <v>104</v>
      </c>
      <c r="I788" s="141" t="s">
        <v>276</v>
      </c>
      <c r="J788" s="159" t="s">
        <v>248</v>
      </c>
      <c r="K788" s="160">
        <v>24220</v>
      </c>
      <c r="L788" s="141"/>
      <c r="M788" s="161">
        <v>1557.34</v>
      </c>
      <c r="N788" s="161">
        <v>0</v>
      </c>
      <c r="O788" s="161">
        <v>0</v>
      </c>
      <c r="P788" s="161">
        <v>0</v>
      </c>
      <c r="Q788" s="104">
        <f t="shared" si="48"/>
        <v>1557.34</v>
      </c>
      <c r="R788" s="104"/>
      <c r="S788" s="66">
        <f t="shared" si="49"/>
        <v>177.69249400000001</v>
      </c>
    </row>
    <row r="789" spans="1:19" ht="15" x14ac:dyDescent="0.25">
      <c r="A789" s="141" t="s">
        <v>148</v>
      </c>
      <c r="B789" s="141" t="s">
        <v>335</v>
      </c>
      <c r="C789" s="141" t="s">
        <v>217</v>
      </c>
      <c r="D789" s="142" t="s">
        <v>242</v>
      </c>
      <c r="E789" s="158" t="s">
        <v>381</v>
      </c>
      <c r="F789" s="142" t="s">
        <v>142</v>
      </c>
      <c r="G789" s="141">
        <v>101001</v>
      </c>
      <c r="H789" s="141" t="s">
        <v>104</v>
      </c>
      <c r="I789" s="141" t="s">
        <v>276</v>
      </c>
      <c r="J789" s="159" t="s">
        <v>248</v>
      </c>
      <c r="K789" s="160">
        <v>24221</v>
      </c>
      <c r="L789" s="141"/>
      <c r="M789" s="161">
        <v>1903.42</v>
      </c>
      <c r="N789" s="161">
        <v>0</v>
      </c>
      <c r="O789" s="161">
        <v>0</v>
      </c>
      <c r="P789" s="161">
        <v>0</v>
      </c>
      <c r="Q789" s="104">
        <f t="shared" si="48"/>
        <v>1903.42</v>
      </c>
      <c r="R789" s="104"/>
      <c r="S789" s="66">
        <f t="shared" si="49"/>
        <v>217.18022200000001</v>
      </c>
    </row>
    <row r="790" spans="1:19" ht="15" x14ac:dyDescent="0.25">
      <c r="A790" s="141" t="s">
        <v>148</v>
      </c>
      <c r="B790" s="141" t="s">
        <v>335</v>
      </c>
      <c r="C790" s="141" t="s">
        <v>217</v>
      </c>
      <c r="D790" s="142" t="s">
        <v>242</v>
      </c>
      <c r="E790" s="158" t="s">
        <v>381</v>
      </c>
      <c r="F790" s="142" t="s">
        <v>142</v>
      </c>
      <c r="G790" s="141">
        <v>101001</v>
      </c>
      <c r="H790" s="141" t="s">
        <v>104</v>
      </c>
      <c r="I790" s="141" t="s">
        <v>276</v>
      </c>
      <c r="J790" s="159" t="s">
        <v>248</v>
      </c>
      <c r="K790" s="160">
        <v>24222</v>
      </c>
      <c r="L790" s="141"/>
      <c r="M790" s="161">
        <v>3633.8</v>
      </c>
      <c r="N790" s="161">
        <v>0</v>
      </c>
      <c r="O790" s="161">
        <v>0</v>
      </c>
      <c r="P790" s="161">
        <v>0</v>
      </c>
      <c r="Q790" s="104">
        <f t="shared" si="48"/>
        <v>3633.8</v>
      </c>
      <c r="R790" s="104"/>
      <c r="S790" s="66">
        <f t="shared" si="49"/>
        <v>414.61658000000006</v>
      </c>
    </row>
    <row r="791" spans="1:19" ht="15" x14ac:dyDescent="0.25">
      <c r="A791" s="141" t="s">
        <v>148</v>
      </c>
      <c r="B791" s="141" t="s">
        <v>335</v>
      </c>
      <c r="C791" s="141" t="s">
        <v>217</v>
      </c>
      <c r="D791" s="142" t="s">
        <v>242</v>
      </c>
      <c r="E791" s="158" t="s">
        <v>381</v>
      </c>
      <c r="F791" s="142" t="s">
        <v>142</v>
      </c>
      <c r="G791" s="141">
        <v>101001</v>
      </c>
      <c r="H791" s="141" t="s">
        <v>104</v>
      </c>
      <c r="I791" s="141" t="s">
        <v>276</v>
      </c>
      <c r="J791" s="159" t="s">
        <v>248</v>
      </c>
      <c r="K791" s="160">
        <v>24264</v>
      </c>
      <c r="L791" s="141"/>
      <c r="M791" s="161">
        <v>1886.81</v>
      </c>
      <c r="N791" s="161">
        <v>0</v>
      </c>
      <c r="O791" s="161">
        <v>0</v>
      </c>
      <c r="P791" s="161">
        <v>0</v>
      </c>
      <c r="Q791" s="104">
        <f t="shared" si="48"/>
        <v>1886.81</v>
      </c>
      <c r="R791" s="104"/>
      <c r="S791" s="66">
        <f t="shared" si="49"/>
        <v>215.28502100000003</v>
      </c>
    </row>
    <row r="792" spans="1:19" ht="15" x14ac:dyDescent="0.25">
      <c r="A792" s="141" t="s">
        <v>148</v>
      </c>
      <c r="B792" s="141" t="s">
        <v>335</v>
      </c>
      <c r="C792" s="141" t="s">
        <v>217</v>
      </c>
      <c r="D792" s="142" t="s">
        <v>242</v>
      </c>
      <c r="E792" s="158" t="s">
        <v>381</v>
      </c>
      <c r="F792" s="142" t="s">
        <v>142</v>
      </c>
      <c r="G792" s="141">
        <v>101001</v>
      </c>
      <c r="H792" s="141" t="s">
        <v>104</v>
      </c>
      <c r="I792" s="141" t="s">
        <v>276</v>
      </c>
      <c r="J792" s="159" t="s">
        <v>248</v>
      </c>
      <c r="K792" s="160">
        <v>24265</v>
      </c>
      <c r="L792" s="141"/>
      <c r="M792" s="161">
        <v>3114.69</v>
      </c>
      <c r="N792" s="161">
        <v>0</v>
      </c>
      <c r="O792" s="161">
        <v>0</v>
      </c>
      <c r="P792" s="161">
        <v>0</v>
      </c>
      <c r="Q792" s="104">
        <f t="shared" si="48"/>
        <v>3114.69</v>
      </c>
      <c r="R792" s="104"/>
      <c r="S792" s="66">
        <f t="shared" si="49"/>
        <v>355.38612900000004</v>
      </c>
    </row>
    <row r="793" spans="1:19" ht="15" x14ac:dyDescent="0.25">
      <c r="A793" s="141" t="s">
        <v>148</v>
      </c>
      <c r="B793" s="141" t="s">
        <v>335</v>
      </c>
      <c r="C793" s="141" t="s">
        <v>217</v>
      </c>
      <c r="D793" s="142" t="s">
        <v>242</v>
      </c>
      <c r="E793" s="158" t="s">
        <v>381</v>
      </c>
      <c r="F793" s="142" t="s">
        <v>142</v>
      </c>
      <c r="G793" s="141">
        <v>101001</v>
      </c>
      <c r="H793" s="141" t="s">
        <v>104</v>
      </c>
      <c r="I793" s="141" t="s">
        <v>276</v>
      </c>
      <c r="J793" s="159" t="s">
        <v>248</v>
      </c>
      <c r="K793" s="160">
        <v>24266</v>
      </c>
      <c r="L793" s="141"/>
      <c r="M793" s="161">
        <v>1211.27</v>
      </c>
      <c r="N793" s="161">
        <v>0</v>
      </c>
      <c r="O793" s="161">
        <v>0</v>
      </c>
      <c r="P793" s="161">
        <v>0</v>
      </c>
      <c r="Q793" s="104">
        <f t="shared" si="48"/>
        <v>1211.27</v>
      </c>
      <c r="R793" s="104"/>
      <c r="S793" s="66">
        <f t="shared" si="49"/>
        <v>138.20590700000002</v>
      </c>
    </row>
    <row r="794" spans="1:19" ht="15" x14ac:dyDescent="0.25">
      <c r="A794" s="141" t="s">
        <v>148</v>
      </c>
      <c r="B794" s="141" t="s">
        <v>335</v>
      </c>
      <c r="C794" s="141" t="s">
        <v>217</v>
      </c>
      <c r="D794" s="142" t="s">
        <v>242</v>
      </c>
      <c r="E794" s="158" t="s">
        <v>381</v>
      </c>
      <c r="F794" s="142" t="s">
        <v>142</v>
      </c>
      <c r="G794" s="141">
        <v>101001</v>
      </c>
      <c r="H794" s="141" t="s">
        <v>104</v>
      </c>
      <c r="I794" s="141" t="s">
        <v>276</v>
      </c>
      <c r="J794" s="159" t="s">
        <v>248</v>
      </c>
      <c r="K794" s="160">
        <v>24267</v>
      </c>
      <c r="L794" s="141"/>
      <c r="M794" s="161">
        <v>1211.27</v>
      </c>
      <c r="N794" s="161">
        <v>0</v>
      </c>
      <c r="O794" s="161">
        <v>0</v>
      </c>
      <c r="P794" s="161">
        <v>0</v>
      </c>
      <c r="Q794" s="104">
        <f t="shared" si="48"/>
        <v>1211.27</v>
      </c>
      <c r="R794" s="104"/>
      <c r="S794" s="66">
        <f t="shared" si="49"/>
        <v>138.20590700000002</v>
      </c>
    </row>
    <row r="795" spans="1:19" ht="15" x14ac:dyDescent="0.25">
      <c r="A795" s="141" t="s">
        <v>148</v>
      </c>
      <c r="B795" s="141" t="s">
        <v>335</v>
      </c>
      <c r="C795" s="141" t="s">
        <v>217</v>
      </c>
      <c r="D795" s="142" t="s">
        <v>242</v>
      </c>
      <c r="E795" s="158" t="s">
        <v>381</v>
      </c>
      <c r="F795" s="142" t="s">
        <v>142</v>
      </c>
      <c r="G795" s="141">
        <v>101001</v>
      </c>
      <c r="H795" s="141" t="s">
        <v>104</v>
      </c>
      <c r="I795" s="141" t="s">
        <v>276</v>
      </c>
      <c r="J795" s="159" t="s">
        <v>248</v>
      </c>
      <c r="K795" s="160">
        <v>24268</v>
      </c>
      <c r="L795" s="141"/>
      <c r="M795" s="161">
        <v>1834.2</v>
      </c>
      <c r="N795" s="161">
        <v>0</v>
      </c>
      <c r="O795" s="161">
        <v>0</v>
      </c>
      <c r="P795" s="161">
        <v>0</v>
      </c>
      <c r="Q795" s="104">
        <f t="shared" si="48"/>
        <v>1834.2</v>
      </c>
      <c r="R795" s="129"/>
      <c r="S795" s="66">
        <f t="shared" si="49"/>
        <v>209.28222000000002</v>
      </c>
    </row>
    <row r="796" spans="1:19" ht="15" x14ac:dyDescent="0.25">
      <c r="A796" s="141" t="s">
        <v>148</v>
      </c>
      <c r="B796" s="141" t="s">
        <v>335</v>
      </c>
      <c r="C796" s="141" t="s">
        <v>217</v>
      </c>
      <c r="D796" s="142" t="s">
        <v>242</v>
      </c>
      <c r="E796" s="158" t="s">
        <v>381</v>
      </c>
      <c r="F796" s="142" t="s">
        <v>142</v>
      </c>
      <c r="G796" s="141">
        <v>101001</v>
      </c>
      <c r="H796" s="141" t="s">
        <v>104</v>
      </c>
      <c r="I796" s="141" t="s">
        <v>276</v>
      </c>
      <c r="J796" s="159" t="s">
        <v>248</v>
      </c>
      <c r="K796" s="160">
        <v>24269</v>
      </c>
      <c r="L796" s="141"/>
      <c r="M796" s="161">
        <v>1488.13</v>
      </c>
      <c r="N796" s="161">
        <v>0</v>
      </c>
      <c r="O796" s="161">
        <v>0</v>
      </c>
      <c r="P796" s="161">
        <v>0</v>
      </c>
      <c r="Q796" s="104">
        <f t="shared" si="48"/>
        <v>1488.13</v>
      </c>
      <c r="R796" s="129"/>
      <c r="S796" s="66">
        <f t="shared" si="49"/>
        <v>169.79563300000001</v>
      </c>
    </row>
    <row r="797" spans="1:19" ht="15" x14ac:dyDescent="0.25">
      <c r="A797" s="141" t="s">
        <v>148</v>
      </c>
      <c r="B797" s="141" t="s">
        <v>335</v>
      </c>
      <c r="C797" s="141" t="s">
        <v>217</v>
      </c>
      <c r="D797" s="142" t="s">
        <v>242</v>
      </c>
      <c r="E797" s="158" t="s">
        <v>381</v>
      </c>
      <c r="F797" s="142" t="s">
        <v>142</v>
      </c>
      <c r="G797" s="141">
        <v>101001</v>
      </c>
      <c r="H797" s="141" t="s">
        <v>104</v>
      </c>
      <c r="I797" s="141" t="s">
        <v>276</v>
      </c>
      <c r="J797" s="159" t="s">
        <v>248</v>
      </c>
      <c r="K797" s="160">
        <v>24270</v>
      </c>
      <c r="L797" s="141"/>
      <c r="M797" s="161">
        <v>1557.34</v>
      </c>
      <c r="N797" s="161">
        <v>0</v>
      </c>
      <c r="O797" s="161">
        <v>0</v>
      </c>
      <c r="P797" s="161">
        <v>0</v>
      </c>
      <c r="Q797" s="104">
        <f t="shared" si="48"/>
        <v>1557.34</v>
      </c>
      <c r="R797" s="129"/>
      <c r="S797" s="66">
        <f t="shared" si="49"/>
        <v>177.69249400000001</v>
      </c>
    </row>
    <row r="798" spans="1:19" ht="15" x14ac:dyDescent="0.25">
      <c r="A798" s="141" t="s">
        <v>148</v>
      </c>
      <c r="B798" s="141" t="s">
        <v>335</v>
      </c>
      <c r="C798" s="141" t="s">
        <v>217</v>
      </c>
      <c r="D798" s="142" t="s">
        <v>242</v>
      </c>
      <c r="E798" s="158" t="s">
        <v>381</v>
      </c>
      <c r="F798" s="142" t="s">
        <v>142</v>
      </c>
      <c r="G798" s="141">
        <v>101001</v>
      </c>
      <c r="H798" s="141" t="s">
        <v>104</v>
      </c>
      <c r="I798" s="141" t="s">
        <v>276</v>
      </c>
      <c r="J798" s="159" t="s">
        <v>248</v>
      </c>
      <c r="K798" s="160">
        <v>24271</v>
      </c>
      <c r="L798" s="141"/>
      <c r="M798" s="161">
        <v>4187.5200000000004</v>
      </c>
      <c r="N798" s="161">
        <v>0</v>
      </c>
      <c r="O798" s="161">
        <v>0</v>
      </c>
      <c r="P798" s="161">
        <v>0</v>
      </c>
      <c r="Q798" s="104">
        <f t="shared" si="48"/>
        <v>4187.5200000000004</v>
      </c>
      <c r="R798" s="129"/>
      <c r="S798" s="66">
        <f t="shared" si="49"/>
        <v>477.79603200000008</v>
      </c>
    </row>
    <row r="799" spans="1:19" ht="15" x14ac:dyDescent="0.25">
      <c r="A799" s="141" t="s">
        <v>148</v>
      </c>
      <c r="B799" s="141" t="s">
        <v>335</v>
      </c>
      <c r="C799" s="141" t="s">
        <v>217</v>
      </c>
      <c r="D799" s="142" t="s">
        <v>242</v>
      </c>
      <c r="E799" s="158" t="s">
        <v>381</v>
      </c>
      <c r="F799" s="142" t="s">
        <v>142</v>
      </c>
      <c r="G799" s="141">
        <v>101001</v>
      </c>
      <c r="H799" s="141" t="s">
        <v>104</v>
      </c>
      <c r="I799" s="141" t="s">
        <v>276</v>
      </c>
      <c r="J799" s="159" t="s">
        <v>248</v>
      </c>
      <c r="K799" s="160">
        <v>24272</v>
      </c>
      <c r="L799" s="141"/>
      <c r="M799" s="161">
        <v>2007.24</v>
      </c>
      <c r="N799" s="161">
        <v>0</v>
      </c>
      <c r="O799" s="161">
        <v>0</v>
      </c>
      <c r="P799" s="161">
        <v>0</v>
      </c>
      <c r="Q799" s="104">
        <f t="shared" si="48"/>
        <v>2007.24</v>
      </c>
      <c r="R799" s="104"/>
      <c r="S799" s="66">
        <f t="shared" si="49"/>
        <v>229.02608400000003</v>
      </c>
    </row>
    <row r="800" spans="1:19" ht="15" x14ac:dyDescent="0.25">
      <c r="A800" s="141" t="s">
        <v>148</v>
      </c>
      <c r="B800" s="141" t="s">
        <v>335</v>
      </c>
      <c r="C800" s="141" t="s">
        <v>217</v>
      </c>
      <c r="D800" s="142" t="s">
        <v>242</v>
      </c>
      <c r="E800" s="158" t="s">
        <v>381</v>
      </c>
      <c r="F800" s="142" t="s">
        <v>142</v>
      </c>
      <c r="G800" s="141">
        <v>101001</v>
      </c>
      <c r="H800" s="141" t="s">
        <v>104</v>
      </c>
      <c r="I800" s="141" t="s">
        <v>276</v>
      </c>
      <c r="J800" s="159" t="s">
        <v>248</v>
      </c>
      <c r="K800" s="160">
        <v>24273</v>
      </c>
      <c r="L800" s="141"/>
      <c r="M800" s="161">
        <v>2149.67</v>
      </c>
      <c r="N800" s="161">
        <v>0</v>
      </c>
      <c r="O800" s="161">
        <v>0</v>
      </c>
      <c r="P800" s="161">
        <v>0</v>
      </c>
      <c r="Q800" s="104">
        <f t="shared" si="48"/>
        <v>2149.67</v>
      </c>
      <c r="R800" s="104"/>
      <c r="S800" s="66">
        <f t="shared" si="49"/>
        <v>245.27734700000002</v>
      </c>
    </row>
    <row r="801" spans="1:19" ht="15" x14ac:dyDescent="0.25">
      <c r="A801" s="141" t="s">
        <v>148</v>
      </c>
      <c r="B801" s="141" t="s">
        <v>335</v>
      </c>
      <c r="C801" s="141" t="s">
        <v>217</v>
      </c>
      <c r="D801" s="142" t="s">
        <v>242</v>
      </c>
      <c r="E801" s="158" t="s">
        <v>381</v>
      </c>
      <c r="F801" s="142" t="s">
        <v>142</v>
      </c>
      <c r="G801" s="141">
        <v>101001</v>
      </c>
      <c r="H801" s="141" t="s">
        <v>104</v>
      </c>
      <c r="I801" s="141" t="s">
        <v>276</v>
      </c>
      <c r="J801" s="159" t="s">
        <v>248</v>
      </c>
      <c r="K801" s="160">
        <v>24274</v>
      </c>
      <c r="L801" s="141"/>
      <c r="M801" s="161">
        <v>3045.47</v>
      </c>
      <c r="N801" s="161">
        <v>0</v>
      </c>
      <c r="O801" s="161">
        <v>0</v>
      </c>
      <c r="P801" s="161">
        <v>0</v>
      </c>
      <c r="Q801" s="104">
        <f t="shared" si="48"/>
        <v>3045.47</v>
      </c>
      <c r="R801" s="104"/>
      <c r="S801" s="66">
        <f t="shared" si="49"/>
        <v>347.48812699999996</v>
      </c>
    </row>
    <row r="802" spans="1:19" ht="15" x14ac:dyDescent="0.25">
      <c r="A802" s="141" t="s">
        <v>148</v>
      </c>
      <c r="B802" s="141" t="s">
        <v>335</v>
      </c>
      <c r="C802" s="141" t="s">
        <v>217</v>
      </c>
      <c r="D802" s="142" t="s">
        <v>242</v>
      </c>
      <c r="E802" s="158" t="s">
        <v>381</v>
      </c>
      <c r="F802" s="142" t="s">
        <v>142</v>
      </c>
      <c r="G802" s="141">
        <v>101001</v>
      </c>
      <c r="H802" s="141" t="s">
        <v>104</v>
      </c>
      <c r="I802" s="141" t="s">
        <v>276</v>
      </c>
      <c r="J802" s="159" t="s">
        <v>248</v>
      </c>
      <c r="K802" s="160">
        <v>24277</v>
      </c>
      <c r="L802" s="141"/>
      <c r="M802" s="161">
        <v>1315.09</v>
      </c>
      <c r="N802" s="161">
        <v>0</v>
      </c>
      <c r="O802" s="161">
        <v>0</v>
      </c>
      <c r="P802" s="161">
        <v>0</v>
      </c>
      <c r="Q802" s="104">
        <f t="shared" si="48"/>
        <v>1315.09</v>
      </c>
      <c r="R802" s="104"/>
      <c r="S802" s="66">
        <f t="shared" si="49"/>
        <v>150.05176899999998</v>
      </c>
    </row>
    <row r="803" spans="1:19" ht="15" x14ac:dyDescent="0.25">
      <c r="A803" s="141" t="s">
        <v>148</v>
      </c>
      <c r="B803" s="141" t="s">
        <v>335</v>
      </c>
      <c r="C803" s="141" t="s">
        <v>217</v>
      </c>
      <c r="D803" s="142" t="s">
        <v>242</v>
      </c>
      <c r="E803" s="158" t="s">
        <v>381</v>
      </c>
      <c r="F803" s="142" t="s">
        <v>142</v>
      </c>
      <c r="G803" s="141">
        <v>101031</v>
      </c>
      <c r="H803" s="141" t="s">
        <v>149</v>
      </c>
      <c r="I803" s="141" t="s">
        <v>276</v>
      </c>
      <c r="J803" s="159" t="s">
        <v>248</v>
      </c>
      <c r="K803" s="160">
        <v>21112</v>
      </c>
      <c r="L803" s="141"/>
      <c r="M803" s="161">
        <v>218.01</v>
      </c>
      <c r="N803" s="161">
        <v>0</v>
      </c>
      <c r="O803" s="161">
        <v>0</v>
      </c>
      <c r="P803" s="161">
        <v>0</v>
      </c>
      <c r="Q803" s="104">
        <f t="shared" si="48"/>
        <v>218.01</v>
      </c>
      <c r="R803" s="129"/>
      <c r="S803" s="66">
        <f t="shared" si="49"/>
        <v>24.874941000000003</v>
      </c>
    </row>
    <row r="804" spans="1:19" ht="15" x14ac:dyDescent="0.25">
      <c r="A804" s="141" t="s">
        <v>148</v>
      </c>
      <c r="B804" s="141" t="s">
        <v>335</v>
      </c>
      <c r="C804" s="141" t="s">
        <v>217</v>
      </c>
      <c r="D804" s="142" t="s">
        <v>242</v>
      </c>
      <c r="E804" s="158" t="s">
        <v>381</v>
      </c>
      <c r="F804" s="142" t="s">
        <v>142</v>
      </c>
      <c r="G804" s="141">
        <v>101031</v>
      </c>
      <c r="H804" s="141" t="s">
        <v>149</v>
      </c>
      <c r="I804" s="141" t="s">
        <v>276</v>
      </c>
      <c r="J804" s="159" t="s">
        <v>248</v>
      </c>
      <c r="K804" s="160">
        <v>24201</v>
      </c>
      <c r="L804" s="141"/>
      <c r="M804" s="161">
        <v>671.51</v>
      </c>
      <c r="N804" s="161">
        <v>0</v>
      </c>
      <c r="O804" s="161">
        <v>0</v>
      </c>
      <c r="P804" s="161">
        <v>0</v>
      </c>
      <c r="Q804" s="104">
        <f t="shared" si="48"/>
        <v>671.51</v>
      </c>
      <c r="R804" s="129"/>
      <c r="S804" s="66">
        <f t="shared" si="49"/>
        <v>76.61929099999999</v>
      </c>
    </row>
    <row r="805" spans="1:19" ht="15" x14ac:dyDescent="0.25">
      <c r="A805" s="141" t="s">
        <v>148</v>
      </c>
      <c r="B805" s="141" t="s">
        <v>335</v>
      </c>
      <c r="C805" s="141" t="s">
        <v>217</v>
      </c>
      <c r="D805" s="142" t="s">
        <v>242</v>
      </c>
      <c r="E805" s="158" t="s">
        <v>381</v>
      </c>
      <c r="F805" s="142" t="s">
        <v>142</v>
      </c>
      <c r="G805" s="141">
        <v>101031</v>
      </c>
      <c r="H805" s="141" t="s">
        <v>149</v>
      </c>
      <c r="I805" s="141" t="s">
        <v>276</v>
      </c>
      <c r="J805" s="159" t="s">
        <v>248</v>
      </c>
      <c r="K805" s="160">
        <v>24203</v>
      </c>
      <c r="L805" s="141"/>
      <c r="M805" s="161">
        <v>743.83</v>
      </c>
      <c r="N805" s="161">
        <v>0</v>
      </c>
      <c r="O805" s="161">
        <v>0</v>
      </c>
      <c r="P805" s="161">
        <v>0</v>
      </c>
      <c r="Q805" s="104">
        <f t="shared" si="48"/>
        <v>743.83</v>
      </c>
      <c r="R805" s="104"/>
      <c r="S805" s="66">
        <f t="shared" si="49"/>
        <v>84.871003000000016</v>
      </c>
    </row>
    <row r="806" spans="1:19" ht="15" x14ac:dyDescent="0.25">
      <c r="A806" s="141" t="s">
        <v>148</v>
      </c>
      <c r="B806" s="141" t="s">
        <v>335</v>
      </c>
      <c r="C806" s="141" t="s">
        <v>217</v>
      </c>
      <c r="D806" s="142" t="s">
        <v>242</v>
      </c>
      <c r="E806" s="158" t="s">
        <v>381</v>
      </c>
      <c r="F806" s="142" t="s">
        <v>142</v>
      </c>
      <c r="G806" s="141">
        <v>101031</v>
      </c>
      <c r="H806" s="141" t="s">
        <v>149</v>
      </c>
      <c r="I806" s="141" t="s">
        <v>276</v>
      </c>
      <c r="J806" s="159" t="s">
        <v>248</v>
      </c>
      <c r="K806" s="160">
        <v>24206</v>
      </c>
      <c r="L806" s="141"/>
      <c r="M806" s="161">
        <v>568.20000000000005</v>
      </c>
      <c r="N806" s="161">
        <v>0</v>
      </c>
      <c r="O806" s="161">
        <v>0</v>
      </c>
      <c r="P806" s="161">
        <v>0</v>
      </c>
      <c r="Q806" s="104">
        <f t="shared" si="48"/>
        <v>568.20000000000005</v>
      </c>
      <c r="R806" s="104"/>
      <c r="S806" s="66">
        <f t="shared" si="49"/>
        <v>64.831620000000015</v>
      </c>
    </row>
    <row r="807" spans="1:19" ht="15" x14ac:dyDescent="0.25">
      <c r="A807" s="141" t="s">
        <v>148</v>
      </c>
      <c r="B807" s="141" t="s">
        <v>335</v>
      </c>
      <c r="C807" s="141" t="s">
        <v>217</v>
      </c>
      <c r="D807" s="142" t="s">
        <v>242</v>
      </c>
      <c r="E807" s="158" t="s">
        <v>381</v>
      </c>
      <c r="F807" s="142" t="s">
        <v>142</v>
      </c>
      <c r="G807" s="141">
        <v>101031</v>
      </c>
      <c r="H807" s="141" t="s">
        <v>149</v>
      </c>
      <c r="I807" s="141" t="s">
        <v>276</v>
      </c>
      <c r="J807" s="159" t="s">
        <v>248</v>
      </c>
      <c r="K807" s="160">
        <v>24207</v>
      </c>
      <c r="L807" s="141"/>
      <c r="M807" s="161">
        <v>495.89</v>
      </c>
      <c r="N807" s="161">
        <v>0</v>
      </c>
      <c r="O807" s="161">
        <v>0</v>
      </c>
      <c r="P807" s="161">
        <v>0</v>
      </c>
      <c r="Q807" s="104">
        <f t="shared" si="48"/>
        <v>495.89</v>
      </c>
      <c r="R807" s="104"/>
      <c r="S807" s="66">
        <f t="shared" si="49"/>
        <v>56.581049</v>
      </c>
    </row>
    <row r="808" spans="1:19" ht="15" x14ac:dyDescent="0.25">
      <c r="A808" s="141" t="s">
        <v>148</v>
      </c>
      <c r="B808" s="141" t="s">
        <v>335</v>
      </c>
      <c r="C808" s="141" t="s">
        <v>217</v>
      </c>
      <c r="D808" s="142" t="s">
        <v>242</v>
      </c>
      <c r="E808" s="158" t="s">
        <v>381</v>
      </c>
      <c r="F808" s="142" t="s">
        <v>142</v>
      </c>
      <c r="G808" s="141">
        <v>101031</v>
      </c>
      <c r="H808" s="141" t="s">
        <v>149</v>
      </c>
      <c r="I808" s="141" t="s">
        <v>276</v>
      </c>
      <c r="J808" s="159" t="s">
        <v>248</v>
      </c>
      <c r="K808" s="160">
        <v>24209</v>
      </c>
      <c r="L808" s="141"/>
      <c r="M808" s="161">
        <v>464.89</v>
      </c>
      <c r="N808" s="161">
        <v>0</v>
      </c>
      <c r="O808" s="161">
        <v>0</v>
      </c>
      <c r="P808" s="161">
        <v>0</v>
      </c>
      <c r="Q808" s="104">
        <f t="shared" si="48"/>
        <v>464.89</v>
      </c>
      <c r="R808" s="104"/>
      <c r="S808" s="66">
        <f t="shared" si="49"/>
        <v>53.043949000000005</v>
      </c>
    </row>
    <row r="809" spans="1:19" ht="15" x14ac:dyDescent="0.25">
      <c r="A809" s="141" t="s">
        <v>148</v>
      </c>
      <c r="B809" s="141" t="s">
        <v>335</v>
      </c>
      <c r="C809" s="141" t="s">
        <v>217</v>
      </c>
      <c r="D809" s="142" t="s">
        <v>242</v>
      </c>
      <c r="E809" s="158" t="s">
        <v>381</v>
      </c>
      <c r="F809" s="142" t="s">
        <v>142</v>
      </c>
      <c r="G809" s="141">
        <v>101031</v>
      </c>
      <c r="H809" s="141" t="s">
        <v>149</v>
      </c>
      <c r="I809" s="141" t="s">
        <v>276</v>
      </c>
      <c r="J809" s="159" t="s">
        <v>248</v>
      </c>
      <c r="K809" s="160">
        <v>24210</v>
      </c>
      <c r="L809" s="141"/>
      <c r="M809" s="161">
        <v>723.17</v>
      </c>
      <c r="N809" s="161">
        <v>0</v>
      </c>
      <c r="O809" s="161">
        <v>0</v>
      </c>
      <c r="P809" s="161">
        <v>0</v>
      </c>
      <c r="Q809" s="104">
        <f t="shared" si="48"/>
        <v>723.17</v>
      </c>
      <c r="R809" s="104"/>
      <c r="S809" s="66">
        <f t="shared" si="49"/>
        <v>82.513696999999993</v>
      </c>
    </row>
    <row r="810" spans="1:19" ht="15" x14ac:dyDescent="0.25">
      <c r="A810" s="141" t="s">
        <v>148</v>
      </c>
      <c r="B810" s="141" t="s">
        <v>335</v>
      </c>
      <c r="C810" s="141" t="s">
        <v>217</v>
      </c>
      <c r="D810" s="142" t="s">
        <v>242</v>
      </c>
      <c r="E810" s="158" t="s">
        <v>381</v>
      </c>
      <c r="F810" s="142" t="s">
        <v>142</v>
      </c>
      <c r="G810" s="141">
        <v>101031</v>
      </c>
      <c r="H810" s="141" t="s">
        <v>149</v>
      </c>
      <c r="I810" s="141" t="s">
        <v>276</v>
      </c>
      <c r="J810" s="159" t="s">
        <v>248</v>
      </c>
      <c r="K810" s="160">
        <v>24212</v>
      </c>
      <c r="L810" s="141"/>
      <c r="M810" s="161">
        <v>227.28</v>
      </c>
      <c r="N810" s="161">
        <v>0</v>
      </c>
      <c r="O810" s="161">
        <v>0</v>
      </c>
      <c r="P810" s="161">
        <v>0</v>
      </c>
      <c r="Q810" s="104">
        <f t="shared" si="48"/>
        <v>227.28</v>
      </c>
      <c r="R810" s="129"/>
      <c r="S810" s="66">
        <f t="shared" si="49"/>
        <v>25.932648</v>
      </c>
    </row>
    <row r="811" spans="1:19" ht="15" x14ac:dyDescent="0.25">
      <c r="A811" s="141" t="s">
        <v>148</v>
      </c>
      <c r="B811" s="141" t="s">
        <v>335</v>
      </c>
      <c r="C811" s="141" t="s">
        <v>217</v>
      </c>
      <c r="D811" s="142" t="s">
        <v>242</v>
      </c>
      <c r="E811" s="158" t="s">
        <v>381</v>
      </c>
      <c r="F811" s="142" t="s">
        <v>142</v>
      </c>
      <c r="G811" s="141">
        <v>101031</v>
      </c>
      <c r="H811" s="141" t="s">
        <v>149</v>
      </c>
      <c r="I811" s="141" t="s">
        <v>276</v>
      </c>
      <c r="J811" s="159" t="s">
        <v>248</v>
      </c>
      <c r="K811" s="160">
        <v>24213</v>
      </c>
      <c r="L811" s="141"/>
      <c r="M811" s="161">
        <v>671.51</v>
      </c>
      <c r="N811" s="161">
        <v>0</v>
      </c>
      <c r="O811" s="161">
        <v>0</v>
      </c>
      <c r="P811" s="161">
        <v>0</v>
      </c>
      <c r="Q811" s="104">
        <f t="shared" si="48"/>
        <v>671.51</v>
      </c>
      <c r="R811" s="129"/>
      <c r="S811" s="66">
        <f t="shared" si="49"/>
        <v>76.61929099999999</v>
      </c>
    </row>
    <row r="812" spans="1:19" ht="15" x14ac:dyDescent="0.25">
      <c r="A812" s="141" t="s">
        <v>148</v>
      </c>
      <c r="B812" s="141" t="s">
        <v>335</v>
      </c>
      <c r="C812" s="141" t="s">
        <v>217</v>
      </c>
      <c r="D812" s="142" t="s">
        <v>242</v>
      </c>
      <c r="E812" s="158" t="s">
        <v>381</v>
      </c>
      <c r="F812" s="142" t="s">
        <v>142</v>
      </c>
      <c r="G812" s="141">
        <v>101031</v>
      </c>
      <c r="H812" s="141" t="s">
        <v>149</v>
      </c>
      <c r="I812" s="141" t="s">
        <v>276</v>
      </c>
      <c r="J812" s="159" t="s">
        <v>248</v>
      </c>
      <c r="K812" s="160">
        <v>24214</v>
      </c>
      <c r="L812" s="141"/>
      <c r="M812" s="161">
        <v>547.54</v>
      </c>
      <c r="N812" s="161">
        <v>0</v>
      </c>
      <c r="O812" s="161">
        <v>0</v>
      </c>
      <c r="P812" s="161">
        <v>0</v>
      </c>
      <c r="Q812" s="104">
        <f t="shared" si="48"/>
        <v>547.54</v>
      </c>
      <c r="R812" s="104"/>
      <c r="S812" s="66">
        <f t="shared" si="49"/>
        <v>62.474314</v>
      </c>
    </row>
    <row r="813" spans="1:19" ht="15" x14ac:dyDescent="0.25">
      <c r="A813" s="141" t="s">
        <v>148</v>
      </c>
      <c r="B813" s="141" t="s">
        <v>335</v>
      </c>
      <c r="C813" s="141" t="s">
        <v>217</v>
      </c>
      <c r="D813" s="142" t="s">
        <v>242</v>
      </c>
      <c r="E813" s="158" t="s">
        <v>381</v>
      </c>
      <c r="F813" s="142" t="s">
        <v>142</v>
      </c>
      <c r="G813" s="141">
        <v>101031</v>
      </c>
      <c r="H813" s="141" t="s">
        <v>149</v>
      </c>
      <c r="I813" s="141" t="s">
        <v>276</v>
      </c>
      <c r="J813" s="159" t="s">
        <v>248</v>
      </c>
      <c r="K813" s="160">
        <v>24220</v>
      </c>
      <c r="L813" s="141"/>
      <c r="M813" s="161">
        <v>464.89</v>
      </c>
      <c r="N813" s="161">
        <v>0</v>
      </c>
      <c r="O813" s="161">
        <v>0</v>
      </c>
      <c r="P813" s="161">
        <v>0</v>
      </c>
      <c r="Q813" s="104">
        <f t="shared" si="48"/>
        <v>464.89</v>
      </c>
      <c r="R813" s="104"/>
      <c r="S813" s="66">
        <f t="shared" si="49"/>
        <v>53.043949000000005</v>
      </c>
    </row>
    <row r="814" spans="1:19" ht="15" x14ac:dyDescent="0.25">
      <c r="A814" s="141" t="s">
        <v>148</v>
      </c>
      <c r="B814" s="141" t="s">
        <v>335</v>
      </c>
      <c r="C814" s="141" t="s">
        <v>217</v>
      </c>
      <c r="D814" s="142" t="s">
        <v>242</v>
      </c>
      <c r="E814" s="158" t="s">
        <v>381</v>
      </c>
      <c r="F814" s="142" t="s">
        <v>142</v>
      </c>
      <c r="G814" s="141">
        <v>101031</v>
      </c>
      <c r="H814" s="141" t="s">
        <v>149</v>
      </c>
      <c r="I814" s="141" t="s">
        <v>276</v>
      </c>
      <c r="J814" s="159" t="s">
        <v>248</v>
      </c>
      <c r="K814" s="160">
        <v>24221</v>
      </c>
      <c r="L814" s="141"/>
      <c r="M814" s="161">
        <v>568.20000000000005</v>
      </c>
      <c r="N814" s="161">
        <v>0</v>
      </c>
      <c r="O814" s="161">
        <v>0</v>
      </c>
      <c r="P814" s="161">
        <v>0</v>
      </c>
      <c r="Q814" s="104">
        <f t="shared" si="48"/>
        <v>568.20000000000005</v>
      </c>
      <c r="R814" s="104"/>
      <c r="S814" s="66">
        <f t="shared" si="49"/>
        <v>64.831620000000015</v>
      </c>
    </row>
    <row r="815" spans="1:19" ht="15" x14ac:dyDescent="0.25">
      <c r="A815" s="141" t="s">
        <v>148</v>
      </c>
      <c r="B815" s="141" t="s">
        <v>335</v>
      </c>
      <c r="C815" s="141" t="s">
        <v>217</v>
      </c>
      <c r="D815" s="142" t="s">
        <v>242</v>
      </c>
      <c r="E815" s="158" t="s">
        <v>381</v>
      </c>
      <c r="F815" s="142" t="s">
        <v>142</v>
      </c>
      <c r="G815" s="141">
        <v>101031</v>
      </c>
      <c r="H815" s="141" t="s">
        <v>149</v>
      </c>
      <c r="I815" s="141" t="s">
        <v>276</v>
      </c>
      <c r="J815" s="159" t="s">
        <v>248</v>
      </c>
      <c r="K815" s="160">
        <v>24222</v>
      </c>
      <c r="L815" s="141"/>
      <c r="M815" s="161">
        <v>1084.75</v>
      </c>
      <c r="N815" s="161">
        <v>0</v>
      </c>
      <c r="O815" s="161">
        <v>0</v>
      </c>
      <c r="P815" s="161">
        <v>0</v>
      </c>
      <c r="Q815" s="104">
        <f t="shared" si="48"/>
        <v>1084.75</v>
      </c>
      <c r="R815" s="129"/>
      <c r="S815" s="66">
        <f t="shared" si="49"/>
        <v>123.76997500000002</v>
      </c>
    </row>
    <row r="816" spans="1:19" ht="15" x14ac:dyDescent="0.25">
      <c r="A816" s="141" t="s">
        <v>148</v>
      </c>
      <c r="B816" s="141" t="s">
        <v>335</v>
      </c>
      <c r="C816" s="141" t="s">
        <v>217</v>
      </c>
      <c r="D816" s="142" t="s">
        <v>242</v>
      </c>
      <c r="E816" s="158" t="s">
        <v>381</v>
      </c>
      <c r="F816" s="142" t="s">
        <v>142</v>
      </c>
      <c r="G816" s="141">
        <v>101031</v>
      </c>
      <c r="H816" s="141" t="s">
        <v>149</v>
      </c>
      <c r="I816" s="141" t="s">
        <v>276</v>
      </c>
      <c r="J816" s="159" t="s">
        <v>248</v>
      </c>
      <c r="K816" s="160">
        <v>24264</v>
      </c>
      <c r="L816" s="141"/>
      <c r="M816" s="161">
        <v>563.24</v>
      </c>
      <c r="N816" s="161">
        <v>0</v>
      </c>
      <c r="O816" s="161">
        <v>0</v>
      </c>
      <c r="P816" s="161">
        <v>0</v>
      </c>
      <c r="Q816" s="104">
        <f t="shared" si="48"/>
        <v>563.24</v>
      </c>
      <c r="R816" s="129"/>
      <c r="S816" s="66">
        <f t="shared" si="49"/>
        <v>64.265684000000007</v>
      </c>
    </row>
    <row r="817" spans="1:19" ht="15" x14ac:dyDescent="0.25">
      <c r="A817" s="141" t="s">
        <v>148</v>
      </c>
      <c r="B817" s="141" t="s">
        <v>335</v>
      </c>
      <c r="C817" s="141" t="s">
        <v>217</v>
      </c>
      <c r="D817" s="142" t="s">
        <v>242</v>
      </c>
      <c r="E817" s="158" t="s">
        <v>381</v>
      </c>
      <c r="F817" s="142" t="s">
        <v>142</v>
      </c>
      <c r="G817" s="141">
        <v>101031</v>
      </c>
      <c r="H817" s="141" t="s">
        <v>149</v>
      </c>
      <c r="I817" s="141" t="s">
        <v>276</v>
      </c>
      <c r="J817" s="159" t="s">
        <v>248</v>
      </c>
      <c r="K817" s="160">
        <v>24265</v>
      </c>
      <c r="L817" s="141"/>
      <c r="M817" s="161">
        <v>929.78</v>
      </c>
      <c r="N817" s="161">
        <v>0</v>
      </c>
      <c r="O817" s="161">
        <v>0</v>
      </c>
      <c r="P817" s="161">
        <v>0</v>
      </c>
      <c r="Q817" s="104">
        <f t="shared" si="48"/>
        <v>929.78</v>
      </c>
      <c r="R817" s="104"/>
      <c r="S817" s="66">
        <f t="shared" si="49"/>
        <v>106.08789800000001</v>
      </c>
    </row>
    <row r="818" spans="1:19" ht="15" x14ac:dyDescent="0.25">
      <c r="A818" s="141" t="s">
        <v>148</v>
      </c>
      <c r="B818" s="141" t="s">
        <v>335</v>
      </c>
      <c r="C818" s="141" t="s">
        <v>217</v>
      </c>
      <c r="D818" s="142" t="s">
        <v>242</v>
      </c>
      <c r="E818" s="158" t="s">
        <v>381</v>
      </c>
      <c r="F818" s="142" t="s">
        <v>142</v>
      </c>
      <c r="G818" s="141">
        <v>101031</v>
      </c>
      <c r="H818" s="141" t="s">
        <v>149</v>
      </c>
      <c r="I818" s="141" t="s">
        <v>276</v>
      </c>
      <c r="J818" s="159" t="s">
        <v>248</v>
      </c>
      <c r="K818" s="160">
        <v>24266</v>
      </c>
      <c r="L818" s="141"/>
      <c r="M818" s="161">
        <v>361.58</v>
      </c>
      <c r="N818" s="161">
        <v>0</v>
      </c>
      <c r="O818" s="161">
        <v>0</v>
      </c>
      <c r="P818" s="161">
        <v>0</v>
      </c>
      <c r="Q818" s="104">
        <f t="shared" si="48"/>
        <v>361.58</v>
      </c>
      <c r="R818" s="104"/>
      <c r="S818" s="66">
        <f t="shared" si="49"/>
        <v>41.256278000000002</v>
      </c>
    </row>
    <row r="819" spans="1:19" ht="15" x14ac:dyDescent="0.25">
      <c r="A819" s="141" t="s">
        <v>148</v>
      </c>
      <c r="B819" s="141" t="s">
        <v>335</v>
      </c>
      <c r="C819" s="141" t="s">
        <v>217</v>
      </c>
      <c r="D819" s="142" t="s">
        <v>242</v>
      </c>
      <c r="E819" s="158" t="s">
        <v>381</v>
      </c>
      <c r="F819" s="142" t="s">
        <v>142</v>
      </c>
      <c r="G819" s="141">
        <v>101031</v>
      </c>
      <c r="H819" s="141" t="s">
        <v>149</v>
      </c>
      <c r="I819" s="141" t="s">
        <v>276</v>
      </c>
      <c r="J819" s="159" t="s">
        <v>248</v>
      </c>
      <c r="K819" s="160">
        <v>24267</v>
      </c>
      <c r="L819" s="141"/>
      <c r="M819" s="161">
        <v>361.58</v>
      </c>
      <c r="N819" s="161">
        <v>0</v>
      </c>
      <c r="O819" s="161">
        <v>0</v>
      </c>
      <c r="P819" s="161">
        <v>0</v>
      </c>
      <c r="Q819" s="104">
        <f t="shared" si="48"/>
        <v>361.58</v>
      </c>
      <c r="R819" s="104"/>
      <c r="S819" s="66">
        <f t="shared" si="49"/>
        <v>41.256278000000002</v>
      </c>
    </row>
    <row r="820" spans="1:19" ht="15" x14ac:dyDescent="0.25">
      <c r="A820" s="141" t="s">
        <v>148</v>
      </c>
      <c r="B820" s="141" t="s">
        <v>335</v>
      </c>
      <c r="C820" s="141" t="s">
        <v>217</v>
      </c>
      <c r="D820" s="142" t="s">
        <v>242</v>
      </c>
      <c r="E820" s="158" t="s">
        <v>381</v>
      </c>
      <c r="F820" s="142" t="s">
        <v>142</v>
      </c>
      <c r="G820" s="141">
        <v>101031</v>
      </c>
      <c r="H820" s="141" t="s">
        <v>149</v>
      </c>
      <c r="I820" s="141" t="s">
        <v>276</v>
      </c>
      <c r="J820" s="159" t="s">
        <v>248</v>
      </c>
      <c r="K820" s="160">
        <v>24268</v>
      </c>
      <c r="L820" s="141"/>
      <c r="M820" s="161">
        <v>547.54</v>
      </c>
      <c r="N820" s="161">
        <v>0</v>
      </c>
      <c r="O820" s="161">
        <v>0</v>
      </c>
      <c r="P820" s="161">
        <v>0</v>
      </c>
      <c r="Q820" s="104">
        <f t="shared" si="48"/>
        <v>547.54</v>
      </c>
      <c r="R820" s="104"/>
      <c r="S820" s="66">
        <f t="shared" si="49"/>
        <v>62.474314</v>
      </c>
    </row>
    <row r="821" spans="1:19" ht="15" x14ac:dyDescent="0.25">
      <c r="A821" s="141" t="s">
        <v>148</v>
      </c>
      <c r="B821" s="141" t="s">
        <v>335</v>
      </c>
      <c r="C821" s="141" t="s">
        <v>217</v>
      </c>
      <c r="D821" s="142" t="s">
        <v>242</v>
      </c>
      <c r="E821" s="158" t="s">
        <v>381</v>
      </c>
      <c r="F821" s="142" t="s">
        <v>142</v>
      </c>
      <c r="G821" s="141">
        <v>101031</v>
      </c>
      <c r="H821" s="141" t="s">
        <v>149</v>
      </c>
      <c r="I821" s="141" t="s">
        <v>276</v>
      </c>
      <c r="J821" s="159" t="s">
        <v>248</v>
      </c>
      <c r="K821" s="160">
        <v>24269</v>
      </c>
      <c r="L821" s="141"/>
      <c r="M821" s="161">
        <v>444.23</v>
      </c>
      <c r="N821" s="161">
        <v>0</v>
      </c>
      <c r="O821" s="161">
        <v>0</v>
      </c>
      <c r="P821" s="161">
        <v>0</v>
      </c>
      <c r="Q821" s="104">
        <f t="shared" si="48"/>
        <v>444.23</v>
      </c>
      <c r="R821" s="104"/>
      <c r="S821" s="66">
        <f t="shared" si="49"/>
        <v>50.686643000000004</v>
      </c>
    </row>
    <row r="822" spans="1:19" ht="15" x14ac:dyDescent="0.25">
      <c r="A822" s="141" t="s">
        <v>148</v>
      </c>
      <c r="B822" s="141" t="s">
        <v>335</v>
      </c>
      <c r="C822" s="141" t="s">
        <v>217</v>
      </c>
      <c r="D822" s="142" t="s">
        <v>242</v>
      </c>
      <c r="E822" s="158" t="s">
        <v>381</v>
      </c>
      <c r="F822" s="142" t="s">
        <v>142</v>
      </c>
      <c r="G822" s="141">
        <v>101031</v>
      </c>
      <c r="H822" s="141" t="s">
        <v>149</v>
      </c>
      <c r="I822" s="141" t="s">
        <v>276</v>
      </c>
      <c r="J822" s="159" t="s">
        <v>248</v>
      </c>
      <c r="K822" s="160">
        <v>24270</v>
      </c>
      <c r="L822" s="141"/>
      <c r="M822" s="161">
        <v>464.89</v>
      </c>
      <c r="N822" s="161">
        <v>0</v>
      </c>
      <c r="O822" s="161">
        <v>0</v>
      </c>
      <c r="P822" s="161">
        <v>0</v>
      </c>
      <c r="Q822" s="104">
        <f t="shared" si="48"/>
        <v>464.89</v>
      </c>
      <c r="R822" s="129"/>
      <c r="S822" s="66">
        <f t="shared" si="49"/>
        <v>53.043949000000005</v>
      </c>
    </row>
    <row r="823" spans="1:19" ht="15" x14ac:dyDescent="0.25">
      <c r="A823" s="141" t="s">
        <v>148</v>
      </c>
      <c r="B823" s="141" t="s">
        <v>335</v>
      </c>
      <c r="C823" s="141" t="s">
        <v>217</v>
      </c>
      <c r="D823" s="142" t="s">
        <v>242</v>
      </c>
      <c r="E823" s="158" t="s">
        <v>381</v>
      </c>
      <c r="F823" s="142" t="s">
        <v>142</v>
      </c>
      <c r="G823" s="141">
        <v>101031</v>
      </c>
      <c r="H823" s="141" t="s">
        <v>149</v>
      </c>
      <c r="I823" s="141" t="s">
        <v>276</v>
      </c>
      <c r="J823" s="159" t="s">
        <v>248</v>
      </c>
      <c r="K823" s="160">
        <v>24271</v>
      </c>
      <c r="L823" s="141"/>
      <c r="M823" s="161">
        <v>1250.04</v>
      </c>
      <c r="N823" s="161">
        <v>0</v>
      </c>
      <c r="O823" s="161">
        <v>0</v>
      </c>
      <c r="P823" s="161">
        <v>0</v>
      </c>
      <c r="Q823" s="104">
        <f t="shared" si="48"/>
        <v>1250.04</v>
      </c>
      <c r="R823" s="129"/>
      <c r="S823" s="66">
        <f t="shared" si="49"/>
        <v>142.62956400000002</v>
      </c>
    </row>
    <row r="824" spans="1:19" ht="15" x14ac:dyDescent="0.25">
      <c r="A824" s="141" t="s">
        <v>148</v>
      </c>
      <c r="B824" s="141" t="s">
        <v>335</v>
      </c>
      <c r="C824" s="141" t="s">
        <v>217</v>
      </c>
      <c r="D824" s="142" t="s">
        <v>242</v>
      </c>
      <c r="E824" s="158" t="s">
        <v>381</v>
      </c>
      <c r="F824" s="142" t="s">
        <v>142</v>
      </c>
      <c r="G824" s="141">
        <v>101031</v>
      </c>
      <c r="H824" s="141" t="s">
        <v>149</v>
      </c>
      <c r="I824" s="141" t="s">
        <v>276</v>
      </c>
      <c r="J824" s="159" t="s">
        <v>248</v>
      </c>
      <c r="K824" s="160">
        <v>24272</v>
      </c>
      <c r="L824" s="141"/>
      <c r="M824" s="161">
        <v>599.19000000000005</v>
      </c>
      <c r="N824" s="161">
        <v>0</v>
      </c>
      <c r="O824" s="161">
        <v>0</v>
      </c>
      <c r="P824" s="161">
        <v>0</v>
      </c>
      <c r="Q824" s="104">
        <f t="shared" si="48"/>
        <v>599.19000000000005</v>
      </c>
      <c r="R824" s="104"/>
      <c r="S824" s="66">
        <f t="shared" si="49"/>
        <v>68.367579000000021</v>
      </c>
    </row>
    <row r="825" spans="1:19" ht="15" x14ac:dyDescent="0.25">
      <c r="A825" s="141" t="s">
        <v>148</v>
      </c>
      <c r="B825" s="141" t="s">
        <v>335</v>
      </c>
      <c r="C825" s="141" t="s">
        <v>217</v>
      </c>
      <c r="D825" s="142" t="s">
        <v>242</v>
      </c>
      <c r="E825" s="158" t="s">
        <v>381</v>
      </c>
      <c r="F825" s="142" t="s">
        <v>142</v>
      </c>
      <c r="G825" s="141">
        <v>101031</v>
      </c>
      <c r="H825" s="141" t="s">
        <v>149</v>
      </c>
      <c r="I825" s="141" t="s">
        <v>276</v>
      </c>
      <c r="J825" s="159" t="s">
        <v>248</v>
      </c>
      <c r="K825" s="160">
        <v>24273</v>
      </c>
      <c r="L825" s="141"/>
      <c r="M825" s="161">
        <v>594.03</v>
      </c>
      <c r="N825" s="161">
        <v>0</v>
      </c>
      <c r="O825" s="161">
        <v>0</v>
      </c>
      <c r="P825" s="161">
        <v>0</v>
      </c>
      <c r="Q825" s="104">
        <f t="shared" si="48"/>
        <v>594.03</v>
      </c>
      <c r="R825" s="104"/>
      <c r="S825" s="66">
        <f t="shared" si="49"/>
        <v>67.778823000000003</v>
      </c>
    </row>
    <row r="826" spans="1:19" ht="15" x14ac:dyDescent="0.25">
      <c r="A826" s="141" t="s">
        <v>148</v>
      </c>
      <c r="B826" s="141" t="s">
        <v>335</v>
      </c>
      <c r="C826" s="141" t="s">
        <v>217</v>
      </c>
      <c r="D826" s="142" t="s">
        <v>242</v>
      </c>
      <c r="E826" s="158" t="s">
        <v>381</v>
      </c>
      <c r="F826" s="142" t="s">
        <v>142</v>
      </c>
      <c r="G826" s="141">
        <v>101031</v>
      </c>
      <c r="H826" s="141" t="s">
        <v>149</v>
      </c>
      <c r="I826" s="141" t="s">
        <v>276</v>
      </c>
      <c r="J826" s="159" t="s">
        <v>248</v>
      </c>
      <c r="K826" s="160">
        <v>24274</v>
      </c>
      <c r="L826" s="141"/>
      <c r="M826" s="161">
        <v>909.12</v>
      </c>
      <c r="N826" s="161">
        <v>0</v>
      </c>
      <c r="O826" s="161">
        <v>0</v>
      </c>
      <c r="P826" s="161">
        <v>0</v>
      </c>
      <c r="Q826" s="104">
        <f t="shared" si="48"/>
        <v>909.12</v>
      </c>
      <c r="R826" s="104"/>
      <c r="S826" s="66">
        <f t="shared" si="49"/>
        <v>103.730592</v>
      </c>
    </row>
    <row r="827" spans="1:19" ht="15" x14ac:dyDescent="0.25">
      <c r="A827" s="141" t="s">
        <v>148</v>
      </c>
      <c r="B827" s="141" t="s">
        <v>335</v>
      </c>
      <c r="C827" s="141" t="s">
        <v>217</v>
      </c>
      <c r="D827" s="142" t="s">
        <v>242</v>
      </c>
      <c r="E827" s="158" t="s">
        <v>381</v>
      </c>
      <c r="F827" s="142" t="s">
        <v>142</v>
      </c>
      <c r="G827" s="141">
        <v>101031</v>
      </c>
      <c r="H827" s="141" t="s">
        <v>149</v>
      </c>
      <c r="I827" s="141" t="s">
        <v>276</v>
      </c>
      <c r="J827" s="159" t="s">
        <v>248</v>
      </c>
      <c r="K827" s="160">
        <v>24277</v>
      </c>
      <c r="L827" s="141"/>
      <c r="M827" s="161">
        <v>392.58</v>
      </c>
      <c r="N827" s="161">
        <v>0</v>
      </c>
      <c r="O827" s="161">
        <v>0</v>
      </c>
      <c r="P827" s="161">
        <v>0</v>
      </c>
      <c r="Q827" s="104">
        <f t="shared" si="48"/>
        <v>392.58</v>
      </c>
      <c r="R827" s="129"/>
      <c r="S827" s="66">
        <f t="shared" si="49"/>
        <v>44.793378000000004</v>
      </c>
    </row>
    <row r="828" spans="1:19" ht="15" x14ac:dyDescent="0.25">
      <c r="A828" s="141" t="s">
        <v>148</v>
      </c>
      <c r="B828" s="141" t="s">
        <v>335</v>
      </c>
      <c r="C828" s="141" t="s">
        <v>217</v>
      </c>
      <c r="D828" s="142" t="s">
        <v>242</v>
      </c>
      <c r="E828" s="158" t="s">
        <v>381</v>
      </c>
      <c r="F828" s="142" t="s">
        <v>142</v>
      </c>
      <c r="G828" s="141">
        <v>102003</v>
      </c>
      <c r="H828" s="141" t="s">
        <v>106</v>
      </c>
      <c r="I828" s="141" t="s">
        <v>276</v>
      </c>
      <c r="J828" s="159" t="s">
        <v>248</v>
      </c>
      <c r="K828" s="160">
        <v>21112</v>
      </c>
      <c r="L828" s="141"/>
      <c r="M828" s="161">
        <v>480.91</v>
      </c>
      <c r="N828" s="161">
        <v>0</v>
      </c>
      <c r="O828" s="161">
        <v>0</v>
      </c>
      <c r="P828" s="161">
        <v>0</v>
      </c>
      <c r="Q828" s="104">
        <f t="shared" si="48"/>
        <v>480.91</v>
      </c>
      <c r="R828" s="129"/>
      <c r="S828" s="66">
        <f t="shared" si="49"/>
        <v>54.871831000000007</v>
      </c>
    </row>
    <row r="829" spans="1:19" ht="15" x14ac:dyDescent="0.25">
      <c r="A829" s="141" t="s">
        <v>148</v>
      </c>
      <c r="B829" s="141" t="s">
        <v>335</v>
      </c>
      <c r="C829" s="141" t="s">
        <v>217</v>
      </c>
      <c r="D829" s="142" t="s">
        <v>242</v>
      </c>
      <c r="E829" s="158" t="s">
        <v>381</v>
      </c>
      <c r="F829" s="142" t="s">
        <v>142</v>
      </c>
      <c r="G829" s="141">
        <v>102003</v>
      </c>
      <c r="H829" s="141" t="s">
        <v>106</v>
      </c>
      <c r="I829" s="141" t="s">
        <v>276</v>
      </c>
      <c r="J829" s="159" t="s">
        <v>248</v>
      </c>
      <c r="K829" s="160">
        <v>21404</v>
      </c>
      <c r="L829" s="141"/>
      <c r="M829" s="161">
        <v>3.7</v>
      </c>
      <c r="N829" s="161">
        <v>0</v>
      </c>
      <c r="O829" s="161">
        <v>0</v>
      </c>
      <c r="P829" s="161">
        <v>0</v>
      </c>
      <c r="Q829" s="104">
        <f t="shared" si="48"/>
        <v>3.7</v>
      </c>
      <c r="R829" s="104"/>
      <c r="S829" s="66">
        <f t="shared" si="49"/>
        <v>0.42217000000000005</v>
      </c>
    </row>
    <row r="830" spans="1:19" ht="15" x14ac:dyDescent="0.25">
      <c r="A830" s="141" t="s">
        <v>148</v>
      </c>
      <c r="B830" s="141" t="s">
        <v>335</v>
      </c>
      <c r="C830" s="141" t="s">
        <v>217</v>
      </c>
      <c r="D830" s="142" t="s">
        <v>242</v>
      </c>
      <c r="E830" s="158" t="s">
        <v>381</v>
      </c>
      <c r="F830" s="142" t="s">
        <v>142</v>
      </c>
      <c r="G830" s="141">
        <v>102003</v>
      </c>
      <c r="H830" s="141" t="s">
        <v>106</v>
      </c>
      <c r="I830" s="141" t="s">
        <v>276</v>
      </c>
      <c r="J830" s="159" t="s">
        <v>248</v>
      </c>
      <c r="K830" s="160">
        <v>23203</v>
      </c>
      <c r="L830" s="141"/>
      <c r="M830" s="161">
        <v>160.72999999999999</v>
      </c>
      <c r="N830" s="161">
        <v>0</v>
      </c>
      <c r="O830" s="161">
        <v>0</v>
      </c>
      <c r="P830" s="161">
        <v>0</v>
      </c>
      <c r="Q830" s="104">
        <f t="shared" si="48"/>
        <v>160.72999999999999</v>
      </c>
      <c r="R830" s="129"/>
      <c r="S830" s="66">
        <f t="shared" si="49"/>
        <v>18.339293000000001</v>
      </c>
    </row>
    <row r="831" spans="1:19" ht="15" x14ac:dyDescent="0.25">
      <c r="A831" s="141" t="s">
        <v>148</v>
      </c>
      <c r="B831" s="141" t="s">
        <v>335</v>
      </c>
      <c r="C831" s="141" t="s">
        <v>217</v>
      </c>
      <c r="D831" s="142" t="s">
        <v>242</v>
      </c>
      <c r="E831" s="158" t="s">
        <v>381</v>
      </c>
      <c r="F831" s="142" t="s">
        <v>142</v>
      </c>
      <c r="G831" s="141">
        <v>102003</v>
      </c>
      <c r="H831" s="141" t="s">
        <v>106</v>
      </c>
      <c r="I831" s="141" t="s">
        <v>276</v>
      </c>
      <c r="J831" s="159" t="s">
        <v>248</v>
      </c>
      <c r="K831" s="160">
        <v>24201</v>
      </c>
      <c r="L831" s="141"/>
      <c r="M831" s="161">
        <v>1481.26</v>
      </c>
      <c r="N831" s="161">
        <v>0</v>
      </c>
      <c r="O831" s="161">
        <v>0</v>
      </c>
      <c r="P831" s="161">
        <v>0</v>
      </c>
      <c r="Q831" s="104">
        <f t="shared" si="48"/>
        <v>1481.26</v>
      </c>
      <c r="R831" s="129"/>
      <c r="S831" s="66">
        <f t="shared" si="49"/>
        <v>169.01176599999999</v>
      </c>
    </row>
    <row r="832" spans="1:19" ht="15" x14ac:dyDescent="0.25">
      <c r="A832" s="141" t="s">
        <v>148</v>
      </c>
      <c r="B832" s="141" t="s">
        <v>335</v>
      </c>
      <c r="C832" s="141" t="s">
        <v>217</v>
      </c>
      <c r="D832" s="142" t="s">
        <v>242</v>
      </c>
      <c r="E832" s="158" t="s">
        <v>381</v>
      </c>
      <c r="F832" s="142" t="s">
        <v>142</v>
      </c>
      <c r="G832" s="141">
        <v>102003</v>
      </c>
      <c r="H832" s="141" t="s">
        <v>106</v>
      </c>
      <c r="I832" s="141" t="s">
        <v>276</v>
      </c>
      <c r="J832" s="159" t="s">
        <v>248</v>
      </c>
      <c r="K832" s="160">
        <v>24203</v>
      </c>
      <c r="L832" s="141"/>
      <c r="M832" s="161">
        <v>1640.78</v>
      </c>
      <c r="N832" s="161">
        <v>0</v>
      </c>
      <c r="O832" s="161">
        <v>0</v>
      </c>
      <c r="P832" s="161">
        <v>0</v>
      </c>
      <c r="Q832" s="104">
        <f t="shared" si="48"/>
        <v>1640.78</v>
      </c>
      <c r="R832" s="129"/>
      <c r="S832" s="66">
        <f t="shared" si="49"/>
        <v>187.212998</v>
      </c>
    </row>
    <row r="833" spans="1:19" ht="15" x14ac:dyDescent="0.25">
      <c r="A833" s="141" t="s">
        <v>148</v>
      </c>
      <c r="B833" s="141" t="s">
        <v>335</v>
      </c>
      <c r="C833" s="141" t="s">
        <v>217</v>
      </c>
      <c r="D833" s="142" t="s">
        <v>242</v>
      </c>
      <c r="E833" s="158" t="s">
        <v>381</v>
      </c>
      <c r="F833" s="142" t="s">
        <v>142</v>
      </c>
      <c r="G833" s="141">
        <v>102003</v>
      </c>
      <c r="H833" s="141" t="s">
        <v>106</v>
      </c>
      <c r="I833" s="141" t="s">
        <v>276</v>
      </c>
      <c r="J833" s="159" t="s">
        <v>248</v>
      </c>
      <c r="K833" s="160">
        <v>24206</v>
      </c>
      <c r="L833" s="141"/>
      <c r="M833" s="161">
        <v>1253.3699999999999</v>
      </c>
      <c r="N833" s="161">
        <v>0</v>
      </c>
      <c r="O833" s="161">
        <v>0</v>
      </c>
      <c r="P833" s="161">
        <v>0</v>
      </c>
      <c r="Q833" s="104">
        <f t="shared" si="48"/>
        <v>1253.3699999999999</v>
      </c>
      <c r="R833" s="129"/>
      <c r="S833" s="66">
        <f t="shared" si="49"/>
        <v>143.00951699999999</v>
      </c>
    </row>
    <row r="834" spans="1:19" ht="15" x14ac:dyDescent="0.25">
      <c r="A834" s="141" t="s">
        <v>148</v>
      </c>
      <c r="B834" s="141" t="s">
        <v>335</v>
      </c>
      <c r="C834" s="141" t="s">
        <v>217</v>
      </c>
      <c r="D834" s="142" t="s">
        <v>242</v>
      </c>
      <c r="E834" s="158" t="s">
        <v>381</v>
      </c>
      <c r="F834" s="142" t="s">
        <v>142</v>
      </c>
      <c r="G834" s="141">
        <v>102003</v>
      </c>
      <c r="H834" s="141" t="s">
        <v>106</v>
      </c>
      <c r="I834" s="141" t="s">
        <v>276</v>
      </c>
      <c r="J834" s="159" t="s">
        <v>248</v>
      </c>
      <c r="K834" s="160">
        <v>24207</v>
      </c>
      <c r="L834" s="141"/>
      <c r="M834" s="161">
        <v>1093.8499999999999</v>
      </c>
      <c r="N834" s="161">
        <v>0</v>
      </c>
      <c r="O834" s="161">
        <v>0</v>
      </c>
      <c r="P834" s="161">
        <v>0</v>
      </c>
      <c r="Q834" s="104">
        <f t="shared" si="48"/>
        <v>1093.8499999999999</v>
      </c>
      <c r="R834" s="129"/>
      <c r="S834" s="66">
        <f t="shared" si="49"/>
        <v>124.808285</v>
      </c>
    </row>
    <row r="835" spans="1:19" ht="15" x14ac:dyDescent="0.25">
      <c r="A835" s="141" t="s">
        <v>148</v>
      </c>
      <c r="B835" s="141" t="s">
        <v>335</v>
      </c>
      <c r="C835" s="141" t="s">
        <v>217</v>
      </c>
      <c r="D835" s="142" t="s">
        <v>242</v>
      </c>
      <c r="E835" s="158" t="s">
        <v>381</v>
      </c>
      <c r="F835" s="142" t="s">
        <v>142</v>
      </c>
      <c r="G835" s="141">
        <v>102003</v>
      </c>
      <c r="H835" s="141" t="s">
        <v>106</v>
      </c>
      <c r="I835" s="141" t="s">
        <v>276</v>
      </c>
      <c r="J835" s="159" t="s">
        <v>248</v>
      </c>
      <c r="K835" s="160">
        <v>24209</v>
      </c>
      <c r="L835" s="141"/>
      <c r="M835" s="161">
        <v>1025.48</v>
      </c>
      <c r="N835" s="161">
        <v>0</v>
      </c>
      <c r="O835" s="161">
        <v>0</v>
      </c>
      <c r="P835" s="161">
        <v>0</v>
      </c>
      <c r="Q835" s="104">
        <f t="shared" si="48"/>
        <v>1025.48</v>
      </c>
      <c r="R835" s="104"/>
      <c r="S835" s="66">
        <f t="shared" si="49"/>
        <v>117.00726800000001</v>
      </c>
    </row>
    <row r="836" spans="1:19" ht="15" x14ac:dyDescent="0.25">
      <c r="A836" s="141" t="s">
        <v>148</v>
      </c>
      <c r="B836" s="141" t="s">
        <v>335</v>
      </c>
      <c r="C836" s="141" t="s">
        <v>217</v>
      </c>
      <c r="D836" s="142" t="s">
        <v>242</v>
      </c>
      <c r="E836" s="158" t="s">
        <v>381</v>
      </c>
      <c r="F836" s="142" t="s">
        <v>142</v>
      </c>
      <c r="G836" s="141">
        <v>102003</v>
      </c>
      <c r="H836" s="141" t="s">
        <v>106</v>
      </c>
      <c r="I836" s="141" t="s">
        <v>276</v>
      </c>
      <c r="J836" s="159" t="s">
        <v>248</v>
      </c>
      <c r="K836" s="160">
        <v>24210</v>
      </c>
      <c r="L836" s="141"/>
      <c r="M836" s="161">
        <v>1595.2</v>
      </c>
      <c r="N836" s="161">
        <v>0</v>
      </c>
      <c r="O836" s="161">
        <v>0</v>
      </c>
      <c r="P836" s="161">
        <v>0</v>
      </c>
      <c r="Q836" s="104">
        <f t="shared" si="48"/>
        <v>1595.2</v>
      </c>
      <c r="R836" s="104"/>
      <c r="S836" s="66">
        <f t="shared" si="49"/>
        <v>182.01232000000002</v>
      </c>
    </row>
    <row r="837" spans="1:19" ht="15" x14ac:dyDescent="0.25">
      <c r="A837" s="141" t="s">
        <v>148</v>
      </c>
      <c r="B837" s="141" t="s">
        <v>335</v>
      </c>
      <c r="C837" s="141" t="s">
        <v>217</v>
      </c>
      <c r="D837" s="142" t="s">
        <v>242</v>
      </c>
      <c r="E837" s="158" t="s">
        <v>381</v>
      </c>
      <c r="F837" s="142" t="s">
        <v>142</v>
      </c>
      <c r="G837" s="141">
        <v>102003</v>
      </c>
      <c r="H837" s="141" t="s">
        <v>106</v>
      </c>
      <c r="I837" s="141" t="s">
        <v>276</v>
      </c>
      <c r="J837" s="159" t="s">
        <v>248</v>
      </c>
      <c r="K837" s="160">
        <v>24212</v>
      </c>
      <c r="L837" s="141"/>
      <c r="M837" s="161">
        <v>501.34</v>
      </c>
      <c r="N837" s="161">
        <v>0</v>
      </c>
      <c r="O837" s="161">
        <v>0</v>
      </c>
      <c r="P837" s="161">
        <v>0</v>
      </c>
      <c r="Q837" s="104">
        <f t="shared" si="48"/>
        <v>501.34</v>
      </c>
      <c r="R837" s="104"/>
      <c r="S837" s="66">
        <f t="shared" si="49"/>
        <v>57.202894000000001</v>
      </c>
    </row>
    <row r="838" spans="1:19" ht="15" x14ac:dyDescent="0.25">
      <c r="A838" s="141" t="s">
        <v>148</v>
      </c>
      <c r="B838" s="141" t="s">
        <v>335</v>
      </c>
      <c r="C838" s="141" t="s">
        <v>217</v>
      </c>
      <c r="D838" s="142" t="s">
        <v>242</v>
      </c>
      <c r="E838" s="158" t="s">
        <v>381</v>
      </c>
      <c r="F838" s="142" t="s">
        <v>142</v>
      </c>
      <c r="G838" s="141">
        <v>102003</v>
      </c>
      <c r="H838" s="141" t="s">
        <v>106</v>
      </c>
      <c r="I838" s="141" t="s">
        <v>276</v>
      </c>
      <c r="J838" s="159" t="s">
        <v>248</v>
      </c>
      <c r="K838" s="160">
        <v>24213</v>
      </c>
      <c r="L838" s="141"/>
      <c r="M838" s="161">
        <v>1481.26</v>
      </c>
      <c r="N838" s="161">
        <v>0</v>
      </c>
      <c r="O838" s="161">
        <v>0</v>
      </c>
      <c r="P838" s="161">
        <v>0</v>
      </c>
      <c r="Q838" s="104">
        <f t="shared" si="48"/>
        <v>1481.26</v>
      </c>
      <c r="R838" s="104"/>
      <c r="S838" s="66">
        <f t="shared" si="49"/>
        <v>169.01176599999999</v>
      </c>
    </row>
    <row r="839" spans="1:19" ht="15" x14ac:dyDescent="0.25">
      <c r="A839" s="141" t="s">
        <v>148</v>
      </c>
      <c r="B839" s="141" t="s">
        <v>335</v>
      </c>
      <c r="C839" s="141" t="s">
        <v>217</v>
      </c>
      <c r="D839" s="142" t="s">
        <v>242</v>
      </c>
      <c r="E839" s="158" t="s">
        <v>381</v>
      </c>
      <c r="F839" s="142" t="s">
        <v>142</v>
      </c>
      <c r="G839" s="141">
        <v>102003</v>
      </c>
      <c r="H839" s="141" t="s">
        <v>106</v>
      </c>
      <c r="I839" s="141" t="s">
        <v>276</v>
      </c>
      <c r="J839" s="159" t="s">
        <v>248</v>
      </c>
      <c r="K839" s="160">
        <v>24214</v>
      </c>
      <c r="L839" s="141"/>
      <c r="M839" s="161">
        <v>1207.79</v>
      </c>
      <c r="N839" s="161">
        <v>0</v>
      </c>
      <c r="O839" s="161">
        <v>0</v>
      </c>
      <c r="P839" s="161">
        <v>0</v>
      </c>
      <c r="Q839" s="104">
        <f t="shared" si="48"/>
        <v>1207.79</v>
      </c>
      <c r="R839" s="104"/>
      <c r="S839" s="66">
        <f t="shared" si="49"/>
        <v>137.80883900000001</v>
      </c>
    </row>
    <row r="840" spans="1:19" ht="15" x14ac:dyDescent="0.25">
      <c r="A840" s="141" t="s">
        <v>148</v>
      </c>
      <c r="B840" s="141" t="s">
        <v>335</v>
      </c>
      <c r="C840" s="141" t="s">
        <v>217</v>
      </c>
      <c r="D840" s="142" t="s">
        <v>242</v>
      </c>
      <c r="E840" s="158" t="s">
        <v>381</v>
      </c>
      <c r="F840" s="142" t="s">
        <v>142</v>
      </c>
      <c r="G840" s="141">
        <v>102003</v>
      </c>
      <c r="H840" s="141" t="s">
        <v>106</v>
      </c>
      <c r="I840" s="141" t="s">
        <v>276</v>
      </c>
      <c r="J840" s="159" t="s">
        <v>248</v>
      </c>
      <c r="K840" s="160">
        <v>24220</v>
      </c>
      <c r="L840" s="141"/>
      <c r="M840" s="161">
        <v>1025.48</v>
      </c>
      <c r="N840" s="161">
        <v>0</v>
      </c>
      <c r="O840" s="161">
        <v>0</v>
      </c>
      <c r="P840" s="161">
        <v>0</v>
      </c>
      <c r="Q840" s="104">
        <f t="shared" ref="Q840:Q903" si="50">M840-P840</f>
        <v>1025.48</v>
      </c>
      <c r="R840" s="104"/>
      <c r="S840" s="66">
        <f t="shared" si="49"/>
        <v>117.00726800000001</v>
      </c>
    </row>
    <row r="841" spans="1:19" ht="15" x14ac:dyDescent="0.25">
      <c r="A841" s="141" t="s">
        <v>148</v>
      </c>
      <c r="B841" s="141" t="s">
        <v>335</v>
      </c>
      <c r="C841" s="141" t="s">
        <v>217</v>
      </c>
      <c r="D841" s="142" t="s">
        <v>242</v>
      </c>
      <c r="E841" s="158" t="s">
        <v>381</v>
      </c>
      <c r="F841" s="142" t="s">
        <v>142</v>
      </c>
      <c r="G841" s="141">
        <v>102003</v>
      </c>
      <c r="H841" s="141" t="s">
        <v>106</v>
      </c>
      <c r="I841" s="141" t="s">
        <v>276</v>
      </c>
      <c r="J841" s="159" t="s">
        <v>248</v>
      </c>
      <c r="K841" s="160">
        <v>24221</v>
      </c>
      <c r="L841" s="141"/>
      <c r="M841" s="161">
        <v>1253.3699999999999</v>
      </c>
      <c r="N841" s="161">
        <v>0</v>
      </c>
      <c r="O841" s="161">
        <v>0</v>
      </c>
      <c r="P841" s="161">
        <v>0</v>
      </c>
      <c r="Q841" s="104">
        <f t="shared" si="50"/>
        <v>1253.3699999999999</v>
      </c>
      <c r="R841" s="104"/>
      <c r="S841" s="66">
        <f t="shared" ref="S841:S904" si="51">M841*$S$7*1.141</f>
        <v>143.00951699999999</v>
      </c>
    </row>
    <row r="842" spans="1:19" ht="15" x14ac:dyDescent="0.25">
      <c r="A842" s="141" t="s">
        <v>148</v>
      </c>
      <c r="B842" s="141" t="s">
        <v>335</v>
      </c>
      <c r="C842" s="141" t="s">
        <v>217</v>
      </c>
      <c r="D842" s="142" t="s">
        <v>242</v>
      </c>
      <c r="E842" s="158" t="s">
        <v>381</v>
      </c>
      <c r="F842" s="142" t="s">
        <v>142</v>
      </c>
      <c r="G842" s="141">
        <v>102003</v>
      </c>
      <c r="H842" s="141" t="s">
        <v>106</v>
      </c>
      <c r="I842" s="141" t="s">
        <v>276</v>
      </c>
      <c r="J842" s="159" t="s">
        <v>248</v>
      </c>
      <c r="K842" s="160">
        <v>24222</v>
      </c>
      <c r="L842" s="141"/>
      <c r="M842" s="161">
        <v>2392.8000000000002</v>
      </c>
      <c r="N842" s="161">
        <v>0</v>
      </c>
      <c r="O842" s="161">
        <v>0</v>
      </c>
      <c r="P842" s="161">
        <v>0</v>
      </c>
      <c r="Q842" s="104">
        <f t="shared" si="50"/>
        <v>2392.8000000000002</v>
      </c>
      <c r="R842" s="104"/>
      <c r="S842" s="66">
        <f t="shared" si="51"/>
        <v>273.01848000000001</v>
      </c>
    </row>
    <row r="843" spans="1:19" ht="15" x14ac:dyDescent="0.25">
      <c r="A843" s="141" t="s">
        <v>148</v>
      </c>
      <c r="B843" s="141" t="s">
        <v>335</v>
      </c>
      <c r="C843" s="141" t="s">
        <v>217</v>
      </c>
      <c r="D843" s="142" t="s">
        <v>242</v>
      </c>
      <c r="E843" s="158" t="s">
        <v>381</v>
      </c>
      <c r="F843" s="142" t="s">
        <v>142</v>
      </c>
      <c r="G843" s="141">
        <v>102003</v>
      </c>
      <c r="H843" s="141" t="s">
        <v>106</v>
      </c>
      <c r="I843" s="141" t="s">
        <v>276</v>
      </c>
      <c r="J843" s="159" t="s">
        <v>248</v>
      </c>
      <c r="K843" s="160">
        <v>24264</v>
      </c>
      <c r="L843" s="141"/>
      <c r="M843" s="161">
        <v>1242.43</v>
      </c>
      <c r="N843" s="161">
        <v>0</v>
      </c>
      <c r="O843" s="161">
        <v>0</v>
      </c>
      <c r="P843" s="161">
        <v>0</v>
      </c>
      <c r="Q843" s="104">
        <f t="shared" si="50"/>
        <v>1242.43</v>
      </c>
      <c r="R843" s="104"/>
      <c r="S843" s="66">
        <f t="shared" si="51"/>
        <v>141.76126300000001</v>
      </c>
    </row>
    <row r="844" spans="1:19" ht="15" x14ac:dyDescent="0.25">
      <c r="A844" s="141" t="s">
        <v>148</v>
      </c>
      <c r="B844" s="141" t="s">
        <v>335</v>
      </c>
      <c r="C844" s="141" t="s">
        <v>217</v>
      </c>
      <c r="D844" s="142" t="s">
        <v>242</v>
      </c>
      <c r="E844" s="158" t="s">
        <v>381</v>
      </c>
      <c r="F844" s="142" t="s">
        <v>142</v>
      </c>
      <c r="G844" s="141">
        <v>102003</v>
      </c>
      <c r="H844" s="141" t="s">
        <v>106</v>
      </c>
      <c r="I844" s="141" t="s">
        <v>276</v>
      </c>
      <c r="J844" s="159" t="s">
        <v>248</v>
      </c>
      <c r="K844" s="160">
        <v>24265</v>
      </c>
      <c r="L844" s="141"/>
      <c r="M844" s="161">
        <v>2050.9699999999998</v>
      </c>
      <c r="N844" s="161">
        <v>0</v>
      </c>
      <c r="O844" s="161">
        <v>0</v>
      </c>
      <c r="P844" s="161">
        <v>0</v>
      </c>
      <c r="Q844" s="104">
        <f t="shared" si="50"/>
        <v>2050.9699999999998</v>
      </c>
      <c r="R844" s="104"/>
      <c r="S844" s="66">
        <f t="shared" si="51"/>
        <v>234.01567699999998</v>
      </c>
    </row>
    <row r="845" spans="1:19" ht="15" x14ac:dyDescent="0.25">
      <c r="A845" s="141" t="s">
        <v>148</v>
      </c>
      <c r="B845" s="141" t="s">
        <v>335</v>
      </c>
      <c r="C845" s="141" t="s">
        <v>217</v>
      </c>
      <c r="D845" s="142" t="s">
        <v>242</v>
      </c>
      <c r="E845" s="158" t="s">
        <v>381</v>
      </c>
      <c r="F845" s="142" t="s">
        <v>142</v>
      </c>
      <c r="G845" s="141">
        <v>102003</v>
      </c>
      <c r="H845" s="141" t="s">
        <v>106</v>
      </c>
      <c r="I845" s="141" t="s">
        <v>276</v>
      </c>
      <c r="J845" s="159" t="s">
        <v>248</v>
      </c>
      <c r="K845" s="160">
        <v>24266</v>
      </c>
      <c r="L845" s="141"/>
      <c r="M845" s="161">
        <v>797.6</v>
      </c>
      <c r="N845" s="161">
        <v>0</v>
      </c>
      <c r="O845" s="161">
        <v>0</v>
      </c>
      <c r="P845" s="161">
        <v>0</v>
      </c>
      <c r="Q845" s="104">
        <f t="shared" si="50"/>
        <v>797.6</v>
      </c>
      <c r="R845" s="104"/>
      <c r="S845" s="66">
        <f t="shared" si="51"/>
        <v>91.006160000000008</v>
      </c>
    </row>
    <row r="846" spans="1:19" ht="15" x14ac:dyDescent="0.25">
      <c r="A846" s="141" t="s">
        <v>148</v>
      </c>
      <c r="B846" s="141" t="s">
        <v>335</v>
      </c>
      <c r="C846" s="141" t="s">
        <v>217</v>
      </c>
      <c r="D846" s="142" t="s">
        <v>242</v>
      </c>
      <c r="E846" s="158" t="s">
        <v>381</v>
      </c>
      <c r="F846" s="142" t="s">
        <v>142</v>
      </c>
      <c r="G846" s="141">
        <v>102003</v>
      </c>
      <c r="H846" s="141" t="s">
        <v>106</v>
      </c>
      <c r="I846" s="141" t="s">
        <v>276</v>
      </c>
      <c r="J846" s="159" t="s">
        <v>248</v>
      </c>
      <c r="K846" s="160">
        <v>24267</v>
      </c>
      <c r="L846" s="141"/>
      <c r="M846" s="161">
        <v>797.6</v>
      </c>
      <c r="N846" s="161">
        <v>0</v>
      </c>
      <c r="O846" s="161">
        <v>0</v>
      </c>
      <c r="P846" s="161">
        <v>0</v>
      </c>
      <c r="Q846" s="104">
        <f t="shared" si="50"/>
        <v>797.6</v>
      </c>
      <c r="R846" s="104"/>
      <c r="S846" s="66">
        <f t="shared" si="51"/>
        <v>91.006160000000008</v>
      </c>
    </row>
    <row r="847" spans="1:19" ht="15" x14ac:dyDescent="0.25">
      <c r="A847" s="141" t="s">
        <v>148</v>
      </c>
      <c r="B847" s="141" t="s">
        <v>335</v>
      </c>
      <c r="C847" s="141" t="s">
        <v>217</v>
      </c>
      <c r="D847" s="142" t="s">
        <v>242</v>
      </c>
      <c r="E847" s="158" t="s">
        <v>381</v>
      </c>
      <c r="F847" s="142" t="s">
        <v>142</v>
      </c>
      <c r="G847" s="141">
        <v>102003</v>
      </c>
      <c r="H847" s="141" t="s">
        <v>106</v>
      </c>
      <c r="I847" s="141" t="s">
        <v>276</v>
      </c>
      <c r="J847" s="159" t="s">
        <v>248</v>
      </c>
      <c r="K847" s="160">
        <v>24268</v>
      </c>
      <c r="L847" s="141"/>
      <c r="M847" s="161">
        <v>1207.79</v>
      </c>
      <c r="N847" s="161">
        <v>0</v>
      </c>
      <c r="O847" s="161">
        <v>0</v>
      </c>
      <c r="P847" s="161">
        <v>0</v>
      </c>
      <c r="Q847" s="104">
        <f t="shared" si="50"/>
        <v>1207.79</v>
      </c>
      <c r="R847" s="104"/>
      <c r="S847" s="66">
        <f t="shared" si="51"/>
        <v>137.80883900000001</v>
      </c>
    </row>
    <row r="848" spans="1:19" ht="15" x14ac:dyDescent="0.25">
      <c r="A848" s="141" t="s">
        <v>148</v>
      </c>
      <c r="B848" s="141" t="s">
        <v>335</v>
      </c>
      <c r="C848" s="141" t="s">
        <v>217</v>
      </c>
      <c r="D848" s="142" t="s">
        <v>242</v>
      </c>
      <c r="E848" s="158" t="s">
        <v>381</v>
      </c>
      <c r="F848" s="142" t="s">
        <v>142</v>
      </c>
      <c r="G848" s="141">
        <v>102003</v>
      </c>
      <c r="H848" s="141" t="s">
        <v>106</v>
      </c>
      <c r="I848" s="141" t="s">
        <v>276</v>
      </c>
      <c r="J848" s="159" t="s">
        <v>248</v>
      </c>
      <c r="K848" s="160">
        <v>24269</v>
      </c>
      <c r="L848" s="141"/>
      <c r="M848" s="161">
        <v>979.91</v>
      </c>
      <c r="N848" s="161">
        <v>0</v>
      </c>
      <c r="O848" s="161">
        <v>0</v>
      </c>
      <c r="P848" s="161">
        <v>0</v>
      </c>
      <c r="Q848" s="104">
        <f t="shared" si="50"/>
        <v>979.91</v>
      </c>
      <c r="R848" s="104"/>
      <c r="S848" s="66">
        <f t="shared" si="51"/>
        <v>111.807731</v>
      </c>
    </row>
    <row r="849" spans="1:19" ht="15" x14ac:dyDescent="0.25">
      <c r="A849" s="141" t="s">
        <v>148</v>
      </c>
      <c r="B849" s="141" t="s">
        <v>335</v>
      </c>
      <c r="C849" s="141" t="s">
        <v>217</v>
      </c>
      <c r="D849" s="142" t="s">
        <v>242</v>
      </c>
      <c r="E849" s="158" t="s">
        <v>381</v>
      </c>
      <c r="F849" s="142" t="s">
        <v>142</v>
      </c>
      <c r="G849" s="141">
        <v>102003</v>
      </c>
      <c r="H849" s="141" t="s">
        <v>106</v>
      </c>
      <c r="I849" s="141" t="s">
        <v>276</v>
      </c>
      <c r="J849" s="159" t="s">
        <v>248</v>
      </c>
      <c r="K849" s="160">
        <v>24270</v>
      </c>
      <c r="L849" s="141"/>
      <c r="M849" s="161">
        <v>1025.48</v>
      </c>
      <c r="N849" s="161">
        <v>0</v>
      </c>
      <c r="O849" s="161">
        <v>0</v>
      </c>
      <c r="P849" s="161">
        <v>0</v>
      </c>
      <c r="Q849" s="104">
        <f t="shared" si="50"/>
        <v>1025.48</v>
      </c>
      <c r="R849" s="104"/>
      <c r="S849" s="66">
        <f t="shared" si="51"/>
        <v>117.00726800000001</v>
      </c>
    </row>
    <row r="850" spans="1:19" ht="15" x14ac:dyDescent="0.25">
      <c r="A850" s="141" t="s">
        <v>148</v>
      </c>
      <c r="B850" s="141" t="s">
        <v>335</v>
      </c>
      <c r="C850" s="141" t="s">
        <v>217</v>
      </c>
      <c r="D850" s="142" t="s">
        <v>242</v>
      </c>
      <c r="E850" s="158" t="s">
        <v>381</v>
      </c>
      <c r="F850" s="142" t="s">
        <v>142</v>
      </c>
      <c r="G850" s="141">
        <v>102003</v>
      </c>
      <c r="H850" s="141" t="s">
        <v>106</v>
      </c>
      <c r="I850" s="141" t="s">
        <v>276</v>
      </c>
      <c r="J850" s="159" t="s">
        <v>248</v>
      </c>
      <c r="K850" s="160">
        <v>24271</v>
      </c>
      <c r="L850" s="141"/>
      <c r="M850" s="161">
        <v>2757.41</v>
      </c>
      <c r="N850" s="161">
        <v>0</v>
      </c>
      <c r="O850" s="161">
        <v>0</v>
      </c>
      <c r="P850" s="161">
        <v>0</v>
      </c>
      <c r="Q850" s="104">
        <f t="shared" si="50"/>
        <v>2757.41</v>
      </c>
      <c r="R850" s="104"/>
      <c r="S850" s="66">
        <f t="shared" si="51"/>
        <v>314.62048099999998</v>
      </c>
    </row>
    <row r="851" spans="1:19" ht="15" x14ac:dyDescent="0.25">
      <c r="A851" s="141" t="s">
        <v>148</v>
      </c>
      <c r="B851" s="141" t="s">
        <v>335</v>
      </c>
      <c r="C851" s="141" t="s">
        <v>217</v>
      </c>
      <c r="D851" s="142" t="s">
        <v>242</v>
      </c>
      <c r="E851" s="158" t="s">
        <v>381</v>
      </c>
      <c r="F851" s="142" t="s">
        <v>142</v>
      </c>
      <c r="G851" s="141">
        <v>102003</v>
      </c>
      <c r="H851" s="141" t="s">
        <v>106</v>
      </c>
      <c r="I851" s="141" t="s">
        <v>276</v>
      </c>
      <c r="J851" s="159" t="s">
        <v>248</v>
      </c>
      <c r="K851" s="160">
        <v>24272</v>
      </c>
      <c r="L851" s="141"/>
      <c r="M851" s="161">
        <v>1321.74</v>
      </c>
      <c r="N851" s="161">
        <v>0</v>
      </c>
      <c r="O851" s="161">
        <v>0</v>
      </c>
      <c r="P851" s="161">
        <v>0</v>
      </c>
      <c r="Q851" s="104">
        <f t="shared" si="50"/>
        <v>1321.74</v>
      </c>
      <c r="R851" s="104"/>
      <c r="S851" s="66">
        <f t="shared" si="51"/>
        <v>150.81053400000002</v>
      </c>
    </row>
    <row r="852" spans="1:19" ht="15" x14ac:dyDescent="0.25">
      <c r="A852" s="141" t="s">
        <v>148</v>
      </c>
      <c r="B852" s="141" t="s">
        <v>335</v>
      </c>
      <c r="C852" s="141" t="s">
        <v>217</v>
      </c>
      <c r="D852" s="142" t="s">
        <v>242</v>
      </c>
      <c r="E852" s="158" t="s">
        <v>381</v>
      </c>
      <c r="F852" s="142" t="s">
        <v>142</v>
      </c>
      <c r="G852" s="141">
        <v>102003</v>
      </c>
      <c r="H852" s="141" t="s">
        <v>106</v>
      </c>
      <c r="I852" s="141" t="s">
        <v>276</v>
      </c>
      <c r="J852" s="159" t="s">
        <v>248</v>
      </c>
      <c r="K852" s="160">
        <v>24273</v>
      </c>
      <c r="L852" s="141"/>
      <c r="M852" s="161">
        <v>1310.3399999999999</v>
      </c>
      <c r="N852" s="161">
        <v>0</v>
      </c>
      <c r="O852" s="161">
        <v>0</v>
      </c>
      <c r="P852" s="161">
        <v>0</v>
      </c>
      <c r="Q852" s="104">
        <f t="shared" si="50"/>
        <v>1310.3399999999999</v>
      </c>
      <c r="R852" s="104"/>
      <c r="S852" s="66">
        <f t="shared" si="51"/>
        <v>149.509794</v>
      </c>
    </row>
    <row r="853" spans="1:19" ht="15" x14ac:dyDescent="0.25">
      <c r="A853" s="141" t="s">
        <v>148</v>
      </c>
      <c r="B853" s="141" t="s">
        <v>335</v>
      </c>
      <c r="C853" s="141" t="s">
        <v>217</v>
      </c>
      <c r="D853" s="142" t="s">
        <v>242</v>
      </c>
      <c r="E853" s="158" t="s">
        <v>381</v>
      </c>
      <c r="F853" s="142" t="s">
        <v>142</v>
      </c>
      <c r="G853" s="141">
        <v>102003</v>
      </c>
      <c r="H853" s="141" t="s">
        <v>106</v>
      </c>
      <c r="I853" s="141" t="s">
        <v>276</v>
      </c>
      <c r="J853" s="159" t="s">
        <v>248</v>
      </c>
      <c r="K853" s="160">
        <v>24274</v>
      </c>
      <c r="L853" s="141"/>
      <c r="M853" s="161">
        <v>2005.39</v>
      </c>
      <c r="N853" s="161">
        <v>0</v>
      </c>
      <c r="O853" s="161">
        <v>0</v>
      </c>
      <c r="P853" s="161">
        <v>0</v>
      </c>
      <c r="Q853" s="104">
        <f t="shared" si="50"/>
        <v>2005.39</v>
      </c>
      <c r="R853" s="104"/>
      <c r="S853" s="66">
        <f t="shared" si="51"/>
        <v>228.81499900000003</v>
      </c>
    </row>
    <row r="854" spans="1:19" ht="15" x14ac:dyDescent="0.25">
      <c r="A854" s="141" t="s">
        <v>148</v>
      </c>
      <c r="B854" s="141" t="s">
        <v>335</v>
      </c>
      <c r="C854" s="141" t="s">
        <v>217</v>
      </c>
      <c r="D854" s="142" t="s">
        <v>242</v>
      </c>
      <c r="E854" s="158" t="s">
        <v>381</v>
      </c>
      <c r="F854" s="142" t="s">
        <v>142</v>
      </c>
      <c r="G854" s="141">
        <v>102003</v>
      </c>
      <c r="H854" s="141" t="s">
        <v>106</v>
      </c>
      <c r="I854" s="141" t="s">
        <v>276</v>
      </c>
      <c r="J854" s="159" t="s">
        <v>248</v>
      </c>
      <c r="K854" s="160">
        <v>24277</v>
      </c>
      <c r="L854" s="141"/>
      <c r="M854" s="161">
        <v>865.96</v>
      </c>
      <c r="N854" s="161">
        <v>0</v>
      </c>
      <c r="O854" s="161">
        <v>0</v>
      </c>
      <c r="P854" s="161">
        <v>0</v>
      </c>
      <c r="Q854" s="104">
        <f t="shared" si="50"/>
        <v>865.96</v>
      </c>
      <c r="R854" s="104"/>
      <c r="S854" s="66">
        <f t="shared" si="51"/>
        <v>98.806036000000006</v>
      </c>
    </row>
    <row r="855" spans="1:19" ht="15" x14ac:dyDescent="0.25">
      <c r="A855" s="141" t="s">
        <v>148</v>
      </c>
      <c r="B855" s="141" t="s">
        <v>335</v>
      </c>
      <c r="C855" s="141" t="s">
        <v>217</v>
      </c>
      <c r="D855" s="142" t="s">
        <v>242</v>
      </c>
      <c r="E855" s="158" t="s">
        <v>381</v>
      </c>
      <c r="F855" s="142" t="s">
        <v>142</v>
      </c>
      <c r="G855" s="141">
        <v>102060</v>
      </c>
      <c r="H855" s="141" t="s">
        <v>254</v>
      </c>
      <c r="I855" s="141" t="s">
        <v>276</v>
      </c>
      <c r="J855" s="159" t="s">
        <v>248</v>
      </c>
      <c r="K855" s="160">
        <v>21112</v>
      </c>
      <c r="L855" s="141"/>
      <c r="M855" s="161">
        <v>108.1</v>
      </c>
      <c r="N855" s="161">
        <v>0</v>
      </c>
      <c r="O855" s="161">
        <v>0</v>
      </c>
      <c r="P855" s="161">
        <v>0</v>
      </c>
      <c r="Q855" s="104">
        <f t="shared" si="50"/>
        <v>108.1</v>
      </c>
      <c r="R855" s="104"/>
      <c r="S855" s="66">
        <f t="shared" si="51"/>
        <v>12.334210000000001</v>
      </c>
    </row>
    <row r="856" spans="1:19" ht="15" x14ac:dyDescent="0.25">
      <c r="A856" s="141" t="s">
        <v>148</v>
      </c>
      <c r="B856" s="141" t="s">
        <v>335</v>
      </c>
      <c r="C856" s="141" t="s">
        <v>217</v>
      </c>
      <c r="D856" s="142" t="s">
        <v>242</v>
      </c>
      <c r="E856" s="158" t="s">
        <v>381</v>
      </c>
      <c r="F856" s="142" t="s">
        <v>142</v>
      </c>
      <c r="G856" s="141">
        <v>102060</v>
      </c>
      <c r="H856" s="141" t="s">
        <v>254</v>
      </c>
      <c r="I856" s="141" t="s">
        <v>276</v>
      </c>
      <c r="J856" s="159" t="s">
        <v>248</v>
      </c>
      <c r="K856" s="160">
        <v>24201</v>
      </c>
      <c r="L856" s="141"/>
      <c r="M856" s="161">
        <v>334.58</v>
      </c>
      <c r="N856" s="161">
        <v>0</v>
      </c>
      <c r="O856" s="161">
        <v>0</v>
      </c>
      <c r="P856" s="161">
        <v>0</v>
      </c>
      <c r="Q856" s="104">
        <f t="shared" si="50"/>
        <v>334.58</v>
      </c>
      <c r="R856" s="104"/>
      <c r="S856" s="66">
        <f t="shared" si="51"/>
        <v>38.175578000000002</v>
      </c>
    </row>
    <row r="857" spans="1:19" ht="15" x14ac:dyDescent="0.25">
      <c r="A857" s="141" t="s">
        <v>148</v>
      </c>
      <c r="B857" s="141" t="s">
        <v>335</v>
      </c>
      <c r="C857" s="141" t="s">
        <v>217</v>
      </c>
      <c r="D857" s="142" t="s">
        <v>242</v>
      </c>
      <c r="E857" s="158" t="s">
        <v>381</v>
      </c>
      <c r="F857" s="142" t="s">
        <v>142</v>
      </c>
      <c r="G857" s="141">
        <v>102060</v>
      </c>
      <c r="H857" s="141" t="s">
        <v>254</v>
      </c>
      <c r="I857" s="141" t="s">
        <v>276</v>
      </c>
      <c r="J857" s="159" t="s">
        <v>248</v>
      </c>
      <c r="K857" s="160">
        <v>24203</v>
      </c>
      <c r="L857" s="141"/>
      <c r="M857" s="161">
        <v>370.61</v>
      </c>
      <c r="N857" s="161">
        <v>0</v>
      </c>
      <c r="O857" s="161">
        <v>0</v>
      </c>
      <c r="P857" s="161">
        <v>0</v>
      </c>
      <c r="Q857" s="104">
        <f t="shared" si="50"/>
        <v>370.61</v>
      </c>
      <c r="R857" s="104"/>
      <c r="S857" s="66">
        <f t="shared" si="51"/>
        <v>42.286600999999997</v>
      </c>
    </row>
    <row r="858" spans="1:19" ht="15" x14ac:dyDescent="0.25">
      <c r="A858" s="141" t="s">
        <v>148</v>
      </c>
      <c r="B858" s="141" t="s">
        <v>335</v>
      </c>
      <c r="C858" s="141" t="s">
        <v>217</v>
      </c>
      <c r="D858" s="142" t="s">
        <v>242</v>
      </c>
      <c r="E858" s="158" t="s">
        <v>381</v>
      </c>
      <c r="F858" s="142" t="s">
        <v>142</v>
      </c>
      <c r="G858" s="141">
        <v>102060</v>
      </c>
      <c r="H858" s="141" t="s">
        <v>254</v>
      </c>
      <c r="I858" s="141" t="s">
        <v>276</v>
      </c>
      <c r="J858" s="159" t="s">
        <v>248</v>
      </c>
      <c r="K858" s="160">
        <v>24206</v>
      </c>
      <c r="L858" s="141"/>
      <c r="M858" s="161">
        <v>283.11</v>
      </c>
      <c r="N858" s="161">
        <v>0</v>
      </c>
      <c r="O858" s="161">
        <v>0</v>
      </c>
      <c r="P858" s="161">
        <v>0</v>
      </c>
      <c r="Q858" s="104">
        <f t="shared" si="50"/>
        <v>283.11</v>
      </c>
      <c r="R858" s="104"/>
      <c r="S858" s="66">
        <f t="shared" si="51"/>
        <v>32.302851000000004</v>
      </c>
    </row>
    <row r="859" spans="1:19" ht="15" x14ac:dyDescent="0.25">
      <c r="A859" s="141" t="s">
        <v>148</v>
      </c>
      <c r="B859" s="141" t="s">
        <v>335</v>
      </c>
      <c r="C859" s="141" t="s">
        <v>217</v>
      </c>
      <c r="D859" s="142" t="s">
        <v>242</v>
      </c>
      <c r="E859" s="158" t="s">
        <v>381</v>
      </c>
      <c r="F859" s="142" t="s">
        <v>142</v>
      </c>
      <c r="G859" s="141">
        <v>102060</v>
      </c>
      <c r="H859" s="141" t="s">
        <v>254</v>
      </c>
      <c r="I859" s="141" t="s">
        <v>276</v>
      </c>
      <c r="J859" s="159" t="s">
        <v>248</v>
      </c>
      <c r="K859" s="160">
        <v>24207</v>
      </c>
      <c r="L859" s="141"/>
      <c r="M859" s="161">
        <v>257.97000000000003</v>
      </c>
      <c r="N859" s="161">
        <v>0</v>
      </c>
      <c r="O859" s="161">
        <v>0</v>
      </c>
      <c r="P859" s="161">
        <v>0</v>
      </c>
      <c r="Q859" s="104">
        <f t="shared" si="50"/>
        <v>257.97000000000003</v>
      </c>
      <c r="R859" s="104"/>
      <c r="S859" s="66">
        <f t="shared" si="51"/>
        <v>29.434377000000005</v>
      </c>
    </row>
    <row r="860" spans="1:19" ht="15" x14ac:dyDescent="0.25">
      <c r="A860" s="141" t="s">
        <v>148</v>
      </c>
      <c r="B860" s="141" t="s">
        <v>335</v>
      </c>
      <c r="C860" s="141" t="s">
        <v>217</v>
      </c>
      <c r="D860" s="142" t="s">
        <v>242</v>
      </c>
      <c r="E860" s="158" t="s">
        <v>381</v>
      </c>
      <c r="F860" s="142" t="s">
        <v>142</v>
      </c>
      <c r="G860" s="141">
        <v>102060</v>
      </c>
      <c r="H860" s="141" t="s">
        <v>254</v>
      </c>
      <c r="I860" s="141" t="s">
        <v>276</v>
      </c>
      <c r="J860" s="159" t="s">
        <v>248</v>
      </c>
      <c r="K860" s="160">
        <v>24209</v>
      </c>
      <c r="L860" s="141"/>
      <c r="M860" s="161">
        <v>231.63</v>
      </c>
      <c r="N860" s="161">
        <v>0</v>
      </c>
      <c r="O860" s="161">
        <v>0</v>
      </c>
      <c r="P860" s="161">
        <v>0</v>
      </c>
      <c r="Q860" s="104">
        <f t="shared" si="50"/>
        <v>231.63</v>
      </c>
      <c r="R860" s="104"/>
      <c r="S860" s="66">
        <f t="shared" si="51"/>
        <v>26.428983000000002</v>
      </c>
    </row>
    <row r="861" spans="1:19" ht="15" x14ac:dyDescent="0.25">
      <c r="A861" s="141" t="s">
        <v>148</v>
      </c>
      <c r="B861" s="141" t="s">
        <v>335</v>
      </c>
      <c r="C861" s="141" t="s">
        <v>217</v>
      </c>
      <c r="D861" s="142" t="s">
        <v>242</v>
      </c>
      <c r="E861" s="158" t="s">
        <v>381</v>
      </c>
      <c r="F861" s="142" t="s">
        <v>142</v>
      </c>
      <c r="G861" s="141">
        <v>102060</v>
      </c>
      <c r="H861" s="141" t="s">
        <v>254</v>
      </c>
      <c r="I861" s="141" t="s">
        <v>276</v>
      </c>
      <c r="J861" s="159" t="s">
        <v>248</v>
      </c>
      <c r="K861" s="160">
        <v>24210</v>
      </c>
      <c r="L861" s="141"/>
      <c r="M861" s="161">
        <v>360.32</v>
      </c>
      <c r="N861" s="161">
        <v>0</v>
      </c>
      <c r="O861" s="161">
        <v>0</v>
      </c>
      <c r="P861" s="161">
        <v>0</v>
      </c>
      <c r="Q861" s="104">
        <f t="shared" si="50"/>
        <v>360.32</v>
      </c>
      <c r="R861" s="104"/>
      <c r="S861" s="66">
        <f t="shared" si="51"/>
        <v>41.112512000000002</v>
      </c>
    </row>
    <row r="862" spans="1:19" ht="15" x14ac:dyDescent="0.25">
      <c r="A862" s="141" t="s">
        <v>148</v>
      </c>
      <c r="B862" s="141" t="s">
        <v>335</v>
      </c>
      <c r="C862" s="141" t="s">
        <v>217</v>
      </c>
      <c r="D862" s="142" t="s">
        <v>242</v>
      </c>
      <c r="E862" s="158" t="s">
        <v>381</v>
      </c>
      <c r="F862" s="142" t="s">
        <v>142</v>
      </c>
      <c r="G862" s="141">
        <v>102060</v>
      </c>
      <c r="H862" s="141" t="s">
        <v>254</v>
      </c>
      <c r="I862" s="141" t="s">
        <v>276</v>
      </c>
      <c r="J862" s="159" t="s">
        <v>248</v>
      </c>
      <c r="K862" s="160">
        <v>24212</v>
      </c>
      <c r="L862" s="141"/>
      <c r="M862" s="161">
        <v>113.24</v>
      </c>
      <c r="N862" s="161">
        <v>0</v>
      </c>
      <c r="O862" s="161">
        <v>0</v>
      </c>
      <c r="P862" s="161">
        <v>0</v>
      </c>
      <c r="Q862" s="104">
        <f t="shared" si="50"/>
        <v>113.24</v>
      </c>
      <c r="R862" s="104"/>
      <c r="S862" s="66">
        <f t="shared" si="51"/>
        <v>12.920684</v>
      </c>
    </row>
    <row r="863" spans="1:19" ht="15" x14ac:dyDescent="0.25">
      <c r="A863" s="141" t="s">
        <v>148</v>
      </c>
      <c r="B863" s="141" t="s">
        <v>335</v>
      </c>
      <c r="C863" s="141" t="s">
        <v>217</v>
      </c>
      <c r="D863" s="142" t="s">
        <v>242</v>
      </c>
      <c r="E863" s="158" t="s">
        <v>381</v>
      </c>
      <c r="F863" s="142" t="s">
        <v>142</v>
      </c>
      <c r="G863" s="141">
        <v>102060</v>
      </c>
      <c r="H863" s="141" t="s">
        <v>254</v>
      </c>
      <c r="I863" s="141" t="s">
        <v>276</v>
      </c>
      <c r="J863" s="159" t="s">
        <v>248</v>
      </c>
      <c r="K863" s="160">
        <v>24213</v>
      </c>
      <c r="L863" s="141"/>
      <c r="M863" s="161">
        <v>334.58</v>
      </c>
      <c r="N863" s="161">
        <v>0</v>
      </c>
      <c r="O863" s="161">
        <v>0</v>
      </c>
      <c r="P863" s="161">
        <v>0</v>
      </c>
      <c r="Q863" s="104">
        <f t="shared" si="50"/>
        <v>334.58</v>
      </c>
      <c r="R863" s="104"/>
      <c r="S863" s="66">
        <f t="shared" si="51"/>
        <v>38.175578000000002</v>
      </c>
    </row>
    <row r="864" spans="1:19" ht="15" x14ac:dyDescent="0.25">
      <c r="A864" s="141" t="s">
        <v>148</v>
      </c>
      <c r="B864" s="141" t="s">
        <v>335</v>
      </c>
      <c r="C864" s="141" t="s">
        <v>217</v>
      </c>
      <c r="D864" s="142" t="s">
        <v>242</v>
      </c>
      <c r="E864" s="158" t="s">
        <v>381</v>
      </c>
      <c r="F864" s="142" t="s">
        <v>142</v>
      </c>
      <c r="G864" s="141">
        <v>102060</v>
      </c>
      <c r="H864" s="141" t="s">
        <v>254</v>
      </c>
      <c r="I864" s="141" t="s">
        <v>276</v>
      </c>
      <c r="J864" s="159" t="s">
        <v>248</v>
      </c>
      <c r="K864" s="160">
        <v>24214</v>
      </c>
      <c r="L864" s="141"/>
      <c r="M864" s="161">
        <v>272.81</v>
      </c>
      <c r="N864" s="161">
        <v>0</v>
      </c>
      <c r="O864" s="161">
        <v>0</v>
      </c>
      <c r="P864" s="161">
        <v>0</v>
      </c>
      <c r="Q864" s="104">
        <f t="shared" si="50"/>
        <v>272.81</v>
      </c>
      <c r="R864" s="104"/>
      <c r="S864" s="66">
        <f t="shared" si="51"/>
        <v>31.127621000000001</v>
      </c>
    </row>
    <row r="865" spans="1:19" ht="15" x14ac:dyDescent="0.25">
      <c r="A865" s="141" t="s">
        <v>148</v>
      </c>
      <c r="B865" s="141" t="s">
        <v>335</v>
      </c>
      <c r="C865" s="141" t="s">
        <v>217</v>
      </c>
      <c r="D865" s="142" t="s">
        <v>242</v>
      </c>
      <c r="E865" s="158" t="s">
        <v>381</v>
      </c>
      <c r="F865" s="142" t="s">
        <v>142</v>
      </c>
      <c r="G865" s="141">
        <v>102060</v>
      </c>
      <c r="H865" s="141" t="s">
        <v>254</v>
      </c>
      <c r="I865" s="141" t="s">
        <v>276</v>
      </c>
      <c r="J865" s="159" t="s">
        <v>248</v>
      </c>
      <c r="K865" s="160">
        <v>24220</v>
      </c>
      <c r="L865" s="141"/>
      <c r="M865" s="161">
        <v>231.63</v>
      </c>
      <c r="N865" s="161">
        <v>0</v>
      </c>
      <c r="O865" s="161">
        <v>0</v>
      </c>
      <c r="P865" s="161">
        <v>0</v>
      </c>
      <c r="Q865" s="104">
        <f t="shared" si="50"/>
        <v>231.63</v>
      </c>
      <c r="R865" s="104"/>
      <c r="S865" s="66">
        <f t="shared" si="51"/>
        <v>26.428983000000002</v>
      </c>
    </row>
    <row r="866" spans="1:19" ht="15" x14ac:dyDescent="0.25">
      <c r="A866" s="141" t="s">
        <v>148</v>
      </c>
      <c r="B866" s="141" t="s">
        <v>335</v>
      </c>
      <c r="C866" s="141" t="s">
        <v>217</v>
      </c>
      <c r="D866" s="142" t="s">
        <v>242</v>
      </c>
      <c r="E866" s="158" t="s">
        <v>381</v>
      </c>
      <c r="F866" s="142" t="s">
        <v>142</v>
      </c>
      <c r="G866" s="141">
        <v>102060</v>
      </c>
      <c r="H866" s="141" t="s">
        <v>254</v>
      </c>
      <c r="I866" s="141" t="s">
        <v>276</v>
      </c>
      <c r="J866" s="159" t="s">
        <v>248</v>
      </c>
      <c r="K866" s="160">
        <v>24221</v>
      </c>
      <c r="L866" s="141"/>
      <c r="M866" s="161">
        <v>283.11</v>
      </c>
      <c r="N866" s="161">
        <v>0</v>
      </c>
      <c r="O866" s="161">
        <v>0</v>
      </c>
      <c r="P866" s="161">
        <v>0</v>
      </c>
      <c r="Q866" s="104">
        <f t="shared" si="50"/>
        <v>283.11</v>
      </c>
      <c r="R866" s="104"/>
      <c r="S866" s="66">
        <f t="shared" si="51"/>
        <v>32.302851000000004</v>
      </c>
    </row>
    <row r="867" spans="1:19" ht="15" x14ac:dyDescent="0.25">
      <c r="A867" s="141" t="s">
        <v>148</v>
      </c>
      <c r="B867" s="141" t="s">
        <v>335</v>
      </c>
      <c r="C867" s="141" t="s">
        <v>217</v>
      </c>
      <c r="D867" s="142" t="s">
        <v>242</v>
      </c>
      <c r="E867" s="158" t="s">
        <v>381</v>
      </c>
      <c r="F867" s="142" t="s">
        <v>142</v>
      </c>
      <c r="G867" s="141">
        <v>102060</v>
      </c>
      <c r="H867" s="141" t="s">
        <v>254</v>
      </c>
      <c r="I867" s="141" t="s">
        <v>276</v>
      </c>
      <c r="J867" s="159" t="s">
        <v>248</v>
      </c>
      <c r="K867" s="160">
        <v>24222</v>
      </c>
      <c r="L867" s="141"/>
      <c r="M867" s="161">
        <v>540.48</v>
      </c>
      <c r="N867" s="161">
        <v>0</v>
      </c>
      <c r="O867" s="161">
        <v>0</v>
      </c>
      <c r="P867" s="161">
        <v>0</v>
      </c>
      <c r="Q867" s="104">
        <f t="shared" si="50"/>
        <v>540.48</v>
      </c>
      <c r="R867" s="104"/>
      <c r="S867" s="66">
        <f t="shared" si="51"/>
        <v>61.668768</v>
      </c>
    </row>
    <row r="868" spans="1:19" ht="15" x14ac:dyDescent="0.25">
      <c r="A868" s="141" t="s">
        <v>148</v>
      </c>
      <c r="B868" s="141" t="s">
        <v>335</v>
      </c>
      <c r="C868" s="141" t="s">
        <v>217</v>
      </c>
      <c r="D868" s="142" t="s">
        <v>242</v>
      </c>
      <c r="E868" s="158" t="s">
        <v>381</v>
      </c>
      <c r="F868" s="142" t="s">
        <v>142</v>
      </c>
      <c r="G868" s="141">
        <v>102060</v>
      </c>
      <c r="H868" s="141" t="s">
        <v>254</v>
      </c>
      <c r="I868" s="141" t="s">
        <v>276</v>
      </c>
      <c r="J868" s="159" t="s">
        <v>248</v>
      </c>
      <c r="K868" s="160">
        <v>24264</v>
      </c>
      <c r="L868" s="141"/>
      <c r="M868" s="161">
        <v>280.64</v>
      </c>
      <c r="N868" s="161">
        <v>0</v>
      </c>
      <c r="O868" s="161">
        <v>0</v>
      </c>
      <c r="P868" s="161">
        <v>0</v>
      </c>
      <c r="Q868" s="104">
        <f t="shared" si="50"/>
        <v>280.64</v>
      </c>
      <c r="R868" s="104"/>
      <c r="S868" s="66">
        <f t="shared" si="51"/>
        <v>32.021023999999997</v>
      </c>
    </row>
    <row r="869" spans="1:19" ht="15" x14ac:dyDescent="0.25">
      <c r="A869" s="141" t="s">
        <v>148</v>
      </c>
      <c r="B869" s="141" t="s">
        <v>335</v>
      </c>
      <c r="C869" s="141" t="s">
        <v>217</v>
      </c>
      <c r="D869" s="142" t="s">
        <v>242</v>
      </c>
      <c r="E869" s="158" t="s">
        <v>381</v>
      </c>
      <c r="F869" s="142" t="s">
        <v>142</v>
      </c>
      <c r="G869" s="141">
        <v>102060</v>
      </c>
      <c r="H869" s="141" t="s">
        <v>254</v>
      </c>
      <c r="I869" s="141" t="s">
        <v>276</v>
      </c>
      <c r="J869" s="159" t="s">
        <v>248</v>
      </c>
      <c r="K869" s="160">
        <v>24265</v>
      </c>
      <c r="L869" s="141"/>
      <c r="M869" s="161">
        <v>463.27</v>
      </c>
      <c r="N869" s="161">
        <v>0</v>
      </c>
      <c r="O869" s="161">
        <v>0</v>
      </c>
      <c r="P869" s="161">
        <v>0</v>
      </c>
      <c r="Q869" s="104">
        <f t="shared" si="50"/>
        <v>463.27</v>
      </c>
      <c r="R869" s="104"/>
      <c r="S869" s="66">
        <f t="shared" si="51"/>
        <v>52.859107000000002</v>
      </c>
    </row>
    <row r="870" spans="1:19" ht="15" x14ac:dyDescent="0.25">
      <c r="A870" s="141" t="s">
        <v>148</v>
      </c>
      <c r="B870" s="141" t="s">
        <v>335</v>
      </c>
      <c r="C870" s="141" t="s">
        <v>217</v>
      </c>
      <c r="D870" s="142" t="s">
        <v>242</v>
      </c>
      <c r="E870" s="158" t="s">
        <v>381</v>
      </c>
      <c r="F870" s="142" t="s">
        <v>142</v>
      </c>
      <c r="G870" s="141">
        <v>102060</v>
      </c>
      <c r="H870" s="141" t="s">
        <v>254</v>
      </c>
      <c r="I870" s="141" t="s">
        <v>276</v>
      </c>
      <c r="J870" s="159" t="s">
        <v>248</v>
      </c>
      <c r="K870" s="160">
        <v>24266</v>
      </c>
      <c r="L870" s="141"/>
      <c r="M870" s="161">
        <v>180.16</v>
      </c>
      <c r="N870" s="161">
        <v>0</v>
      </c>
      <c r="O870" s="161">
        <v>0</v>
      </c>
      <c r="P870" s="161">
        <v>0</v>
      </c>
      <c r="Q870" s="104">
        <f t="shared" si="50"/>
        <v>180.16</v>
      </c>
      <c r="R870" s="104"/>
      <c r="S870" s="66">
        <f t="shared" si="51"/>
        <v>20.556256000000001</v>
      </c>
    </row>
    <row r="871" spans="1:19" ht="15" x14ac:dyDescent="0.25">
      <c r="A871" s="141" t="s">
        <v>148</v>
      </c>
      <c r="B871" s="141" t="s">
        <v>335</v>
      </c>
      <c r="C871" s="141" t="s">
        <v>217</v>
      </c>
      <c r="D871" s="142" t="s">
        <v>242</v>
      </c>
      <c r="E871" s="158" t="s">
        <v>381</v>
      </c>
      <c r="F871" s="142" t="s">
        <v>142</v>
      </c>
      <c r="G871" s="141">
        <v>102060</v>
      </c>
      <c r="H871" s="141" t="s">
        <v>254</v>
      </c>
      <c r="I871" s="141" t="s">
        <v>276</v>
      </c>
      <c r="J871" s="159" t="s">
        <v>248</v>
      </c>
      <c r="K871" s="160">
        <v>24267</v>
      </c>
      <c r="L871" s="141"/>
      <c r="M871" s="161">
        <v>180.16</v>
      </c>
      <c r="N871" s="161">
        <v>0</v>
      </c>
      <c r="O871" s="161">
        <v>0</v>
      </c>
      <c r="P871" s="161">
        <v>0</v>
      </c>
      <c r="Q871" s="104">
        <f t="shared" si="50"/>
        <v>180.16</v>
      </c>
      <c r="R871" s="104"/>
      <c r="S871" s="66">
        <f t="shared" si="51"/>
        <v>20.556256000000001</v>
      </c>
    </row>
    <row r="872" spans="1:19" ht="15" x14ac:dyDescent="0.25">
      <c r="A872" s="141" t="s">
        <v>148</v>
      </c>
      <c r="B872" s="141" t="s">
        <v>335</v>
      </c>
      <c r="C872" s="141" t="s">
        <v>217</v>
      </c>
      <c r="D872" s="142" t="s">
        <v>242</v>
      </c>
      <c r="E872" s="158" t="s">
        <v>381</v>
      </c>
      <c r="F872" s="142" t="s">
        <v>142</v>
      </c>
      <c r="G872" s="141">
        <v>102060</v>
      </c>
      <c r="H872" s="141" t="s">
        <v>254</v>
      </c>
      <c r="I872" s="141" t="s">
        <v>276</v>
      </c>
      <c r="J872" s="159" t="s">
        <v>248</v>
      </c>
      <c r="K872" s="160">
        <v>24268</v>
      </c>
      <c r="L872" s="141"/>
      <c r="M872" s="161">
        <v>272.81</v>
      </c>
      <c r="N872" s="161">
        <v>0</v>
      </c>
      <c r="O872" s="161">
        <v>0</v>
      </c>
      <c r="P872" s="161">
        <v>0</v>
      </c>
      <c r="Q872" s="104">
        <f t="shared" si="50"/>
        <v>272.81</v>
      </c>
      <c r="R872" s="104"/>
      <c r="S872" s="66">
        <f t="shared" si="51"/>
        <v>31.127621000000001</v>
      </c>
    </row>
    <row r="873" spans="1:19" ht="15" x14ac:dyDescent="0.25">
      <c r="A873" s="141" t="s">
        <v>148</v>
      </c>
      <c r="B873" s="141" t="s">
        <v>335</v>
      </c>
      <c r="C873" s="141" t="s">
        <v>217</v>
      </c>
      <c r="D873" s="142" t="s">
        <v>242</v>
      </c>
      <c r="E873" s="158" t="s">
        <v>381</v>
      </c>
      <c r="F873" s="142" t="s">
        <v>142</v>
      </c>
      <c r="G873" s="141">
        <v>102060</v>
      </c>
      <c r="H873" s="141" t="s">
        <v>254</v>
      </c>
      <c r="I873" s="141" t="s">
        <v>276</v>
      </c>
      <c r="J873" s="159" t="s">
        <v>248</v>
      </c>
      <c r="K873" s="160">
        <v>24269</v>
      </c>
      <c r="L873" s="141"/>
      <c r="M873" s="161">
        <v>221.34</v>
      </c>
      <c r="N873" s="161">
        <v>0</v>
      </c>
      <c r="O873" s="161">
        <v>0</v>
      </c>
      <c r="P873" s="161">
        <v>0</v>
      </c>
      <c r="Q873" s="104">
        <f t="shared" si="50"/>
        <v>221.34</v>
      </c>
      <c r="R873" s="104"/>
      <c r="S873" s="66">
        <f t="shared" si="51"/>
        <v>25.254894</v>
      </c>
    </row>
    <row r="874" spans="1:19" ht="15" x14ac:dyDescent="0.25">
      <c r="A874" s="141" t="s">
        <v>148</v>
      </c>
      <c r="B874" s="141" t="s">
        <v>335</v>
      </c>
      <c r="C874" s="141" t="s">
        <v>217</v>
      </c>
      <c r="D874" s="142" t="s">
        <v>242</v>
      </c>
      <c r="E874" s="158" t="s">
        <v>381</v>
      </c>
      <c r="F874" s="142" t="s">
        <v>142</v>
      </c>
      <c r="G874" s="141">
        <v>102060</v>
      </c>
      <c r="H874" s="141" t="s">
        <v>254</v>
      </c>
      <c r="I874" s="141" t="s">
        <v>276</v>
      </c>
      <c r="J874" s="159" t="s">
        <v>248</v>
      </c>
      <c r="K874" s="160">
        <v>24270</v>
      </c>
      <c r="L874" s="141"/>
      <c r="M874" s="161">
        <v>231.63</v>
      </c>
      <c r="N874" s="161">
        <v>0</v>
      </c>
      <c r="O874" s="161">
        <v>0</v>
      </c>
      <c r="P874" s="161">
        <v>0</v>
      </c>
      <c r="Q874" s="104">
        <f t="shared" si="50"/>
        <v>231.63</v>
      </c>
      <c r="R874" s="104"/>
      <c r="S874" s="66">
        <f t="shared" si="51"/>
        <v>26.428983000000002</v>
      </c>
    </row>
    <row r="875" spans="1:19" ht="15" x14ac:dyDescent="0.25">
      <c r="A875" s="141" t="s">
        <v>148</v>
      </c>
      <c r="B875" s="141" t="s">
        <v>335</v>
      </c>
      <c r="C875" s="141" t="s">
        <v>217</v>
      </c>
      <c r="D875" s="142" t="s">
        <v>242</v>
      </c>
      <c r="E875" s="158" t="s">
        <v>381</v>
      </c>
      <c r="F875" s="142" t="s">
        <v>142</v>
      </c>
      <c r="G875" s="141">
        <v>102060</v>
      </c>
      <c r="H875" s="141" t="s">
        <v>254</v>
      </c>
      <c r="I875" s="141" t="s">
        <v>276</v>
      </c>
      <c r="J875" s="159" t="s">
        <v>248</v>
      </c>
      <c r="K875" s="160">
        <v>24271</v>
      </c>
      <c r="L875" s="141"/>
      <c r="M875" s="161">
        <v>622.84</v>
      </c>
      <c r="N875" s="161">
        <v>0</v>
      </c>
      <c r="O875" s="161">
        <v>0</v>
      </c>
      <c r="P875" s="161">
        <v>0</v>
      </c>
      <c r="Q875" s="104">
        <f t="shared" si="50"/>
        <v>622.84</v>
      </c>
      <c r="R875" s="104"/>
      <c r="S875" s="66">
        <f t="shared" si="51"/>
        <v>71.066044000000005</v>
      </c>
    </row>
    <row r="876" spans="1:19" ht="15" x14ac:dyDescent="0.25">
      <c r="A876" s="141" t="s">
        <v>148</v>
      </c>
      <c r="B876" s="141" t="s">
        <v>335</v>
      </c>
      <c r="C876" s="141" t="s">
        <v>217</v>
      </c>
      <c r="D876" s="142" t="s">
        <v>242</v>
      </c>
      <c r="E876" s="158" t="s">
        <v>381</v>
      </c>
      <c r="F876" s="142" t="s">
        <v>142</v>
      </c>
      <c r="G876" s="141">
        <v>102060</v>
      </c>
      <c r="H876" s="141" t="s">
        <v>254</v>
      </c>
      <c r="I876" s="141" t="s">
        <v>276</v>
      </c>
      <c r="J876" s="159" t="s">
        <v>248</v>
      </c>
      <c r="K876" s="160">
        <v>24272</v>
      </c>
      <c r="L876" s="141"/>
      <c r="M876" s="161">
        <v>298.55</v>
      </c>
      <c r="N876" s="161">
        <v>0</v>
      </c>
      <c r="O876" s="161">
        <v>0</v>
      </c>
      <c r="P876" s="161">
        <v>0</v>
      </c>
      <c r="Q876" s="104">
        <f t="shared" si="50"/>
        <v>298.55</v>
      </c>
      <c r="R876" s="104"/>
      <c r="S876" s="66">
        <f t="shared" si="51"/>
        <v>34.064555000000006</v>
      </c>
    </row>
    <row r="877" spans="1:19" ht="15" x14ac:dyDescent="0.25">
      <c r="A877" s="141" t="s">
        <v>148</v>
      </c>
      <c r="B877" s="141" t="s">
        <v>335</v>
      </c>
      <c r="C877" s="141" t="s">
        <v>217</v>
      </c>
      <c r="D877" s="142" t="s">
        <v>242</v>
      </c>
      <c r="E877" s="158" t="s">
        <v>381</v>
      </c>
      <c r="F877" s="142" t="s">
        <v>142</v>
      </c>
      <c r="G877" s="141">
        <v>102060</v>
      </c>
      <c r="H877" s="141" t="s">
        <v>254</v>
      </c>
      <c r="I877" s="141" t="s">
        <v>276</v>
      </c>
      <c r="J877" s="159" t="s">
        <v>248</v>
      </c>
      <c r="K877" s="160">
        <v>24273</v>
      </c>
      <c r="L877" s="141"/>
      <c r="M877" s="161">
        <v>319.73</v>
      </c>
      <c r="N877" s="161">
        <v>0</v>
      </c>
      <c r="O877" s="161">
        <v>0</v>
      </c>
      <c r="P877" s="161">
        <v>0</v>
      </c>
      <c r="Q877" s="104">
        <f t="shared" si="50"/>
        <v>319.73</v>
      </c>
      <c r="R877" s="104"/>
      <c r="S877" s="66">
        <f t="shared" si="51"/>
        <v>36.481193000000005</v>
      </c>
    </row>
    <row r="878" spans="1:19" ht="15" x14ac:dyDescent="0.25">
      <c r="A878" s="141" t="s">
        <v>148</v>
      </c>
      <c r="B878" s="141" t="s">
        <v>335</v>
      </c>
      <c r="C878" s="141" t="s">
        <v>217</v>
      </c>
      <c r="D878" s="142" t="s">
        <v>242</v>
      </c>
      <c r="E878" s="158" t="s">
        <v>381</v>
      </c>
      <c r="F878" s="142" t="s">
        <v>142</v>
      </c>
      <c r="G878" s="141">
        <v>102060</v>
      </c>
      <c r="H878" s="141" t="s">
        <v>254</v>
      </c>
      <c r="I878" s="141" t="s">
        <v>276</v>
      </c>
      <c r="J878" s="159" t="s">
        <v>248</v>
      </c>
      <c r="K878" s="160">
        <v>24274</v>
      </c>
      <c r="L878" s="141"/>
      <c r="M878" s="161">
        <v>452.97</v>
      </c>
      <c r="N878" s="161">
        <v>0</v>
      </c>
      <c r="O878" s="161">
        <v>0</v>
      </c>
      <c r="P878" s="161">
        <v>0</v>
      </c>
      <c r="Q878" s="104">
        <f t="shared" si="50"/>
        <v>452.97</v>
      </c>
      <c r="R878" s="104"/>
      <c r="S878" s="66">
        <f t="shared" si="51"/>
        <v>51.683877000000003</v>
      </c>
    </row>
    <row r="879" spans="1:19" ht="15" x14ac:dyDescent="0.25">
      <c r="A879" s="141" t="s">
        <v>148</v>
      </c>
      <c r="B879" s="141" t="s">
        <v>335</v>
      </c>
      <c r="C879" s="141" t="s">
        <v>217</v>
      </c>
      <c r="D879" s="142" t="s">
        <v>242</v>
      </c>
      <c r="E879" s="158" t="s">
        <v>381</v>
      </c>
      <c r="F879" s="142" t="s">
        <v>142</v>
      </c>
      <c r="G879" s="141">
        <v>102060</v>
      </c>
      <c r="H879" s="141" t="s">
        <v>254</v>
      </c>
      <c r="I879" s="141" t="s">
        <v>276</v>
      </c>
      <c r="J879" s="159" t="s">
        <v>248</v>
      </c>
      <c r="K879" s="160">
        <v>24277</v>
      </c>
      <c r="L879" s="141"/>
      <c r="M879" s="161">
        <v>195.6</v>
      </c>
      <c r="N879" s="161">
        <v>0</v>
      </c>
      <c r="O879" s="161">
        <v>0</v>
      </c>
      <c r="P879" s="161">
        <v>0</v>
      </c>
      <c r="Q879" s="104">
        <f t="shared" si="50"/>
        <v>195.6</v>
      </c>
      <c r="R879" s="104"/>
      <c r="S879" s="66">
        <f t="shared" si="51"/>
        <v>22.317960000000003</v>
      </c>
    </row>
    <row r="880" spans="1:19" ht="15" x14ac:dyDescent="0.25">
      <c r="A880" s="141" t="s">
        <v>148</v>
      </c>
      <c r="B880" s="141" t="s">
        <v>335</v>
      </c>
      <c r="C880" s="141" t="s">
        <v>217</v>
      </c>
      <c r="D880" s="142" t="s">
        <v>242</v>
      </c>
      <c r="E880" s="158" t="s">
        <v>381</v>
      </c>
      <c r="F880" s="142" t="s">
        <v>142</v>
      </c>
      <c r="G880" s="141">
        <v>103001</v>
      </c>
      <c r="H880" s="141" t="s">
        <v>109</v>
      </c>
      <c r="I880" s="141" t="s">
        <v>276</v>
      </c>
      <c r="J880" s="159" t="s">
        <v>248</v>
      </c>
      <c r="K880" s="160">
        <v>24201</v>
      </c>
      <c r="L880" s="141"/>
      <c r="M880" s="161">
        <v>9.1199999999999992</v>
      </c>
      <c r="N880" s="161">
        <v>0</v>
      </c>
      <c r="O880" s="161">
        <v>0</v>
      </c>
      <c r="P880" s="161">
        <v>0</v>
      </c>
      <c r="Q880" s="104">
        <f t="shared" si="50"/>
        <v>9.1199999999999992</v>
      </c>
      <c r="R880" s="104"/>
      <c r="S880" s="66">
        <f t="shared" si="51"/>
        <v>1.040592</v>
      </c>
    </row>
    <row r="881" spans="1:19" ht="15" x14ac:dyDescent="0.25">
      <c r="A881" s="141" t="s">
        <v>148</v>
      </c>
      <c r="B881" s="141" t="s">
        <v>335</v>
      </c>
      <c r="C881" s="141" t="s">
        <v>217</v>
      </c>
      <c r="D881" s="142" t="s">
        <v>242</v>
      </c>
      <c r="E881" s="158" t="s">
        <v>381</v>
      </c>
      <c r="F881" s="142" t="s">
        <v>142</v>
      </c>
      <c r="G881" s="141">
        <v>103001</v>
      </c>
      <c r="H881" s="141" t="s">
        <v>109</v>
      </c>
      <c r="I881" s="141" t="s">
        <v>276</v>
      </c>
      <c r="J881" s="159" t="s">
        <v>248</v>
      </c>
      <c r="K881" s="160">
        <v>24203</v>
      </c>
      <c r="L881" s="141"/>
      <c r="M881" s="161">
        <v>10.1</v>
      </c>
      <c r="N881" s="161">
        <v>0</v>
      </c>
      <c r="O881" s="161">
        <v>0</v>
      </c>
      <c r="P881" s="161">
        <v>0</v>
      </c>
      <c r="Q881" s="104">
        <f t="shared" si="50"/>
        <v>10.1</v>
      </c>
      <c r="R881" s="104"/>
      <c r="S881" s="66">
        <f t="shared" si="51"/>
        <v>1.1524099999999999</v>
      </c>
    </row>
    <row r="882" spans="1:19" ht="15" x14ac:dyDescent="0.25">
      <c r="A882" s="141" t="s">
        <v>148</v>
      </c>
      <c r="B882" s="141" t="s">
        <v>335</v>
      </c>
      <c r="C882" s="141" t="s">
        <v>217</v>
      </c>
      <c r="D882" s="142" t="s">
        <v>242</v>
      </c>
      <c r="E882" s="158" t="s">
        <v>381</v>
      </c>
      <c r="F882" s="142" t="s">
        <v>142</v>
      </c>
      <c r="G882" s="141">
        <v>103001</v>
      </c>
      <c r="H882" s="141" t="s">
        <v>109</v>
      </c>
      <c r="I882" s="141" t="s">
        <v>276</v>
      </c>
      <c r="J882" s="159" t="s">
        <v>248</v>
      </c>
      <c r="K882" s="160">
        <v>24206</v>
      </c>
      <c r="L882" s="141"/>
      <c r="M882" s="161">
        <v>7.72</v>
      </c>
      <c r="N882" s="161">
        <v>0</v>
      </c>
      <c r="O882" s="161">
        <v>0</v>
      </c>
      <c r="P882" s="161">
        <v>0</v>
      </c>
      <c r="Q882" s="104">
        <f t="shared" si="50"/>
        <v>7.72</v>
      </c>
      <c r="R882" s="104"/>
      <c r="S882" s="66">
        <f t="shared" si="51"/>
        <v>0.88085200000000008</v>
      </c>
    </row>
    <row r="883" spans="1:19" ht="15" x14ac:dyDescent="0.25">
      <c r="A883" s="141" t="s">
        <v>148</v>
      </c>
      <c r="B883" s="141" t="s">
        <v>335</v>
      </c>
      <c r="C883" s="141" t="s">
        <v>217</v>
      </c>
      <c r="D883" s="142" t="s">
        <v>242</v>
      </c>
      <c r="E883" s="158" t="s">
        <v>381</v>
      </c>
      <c r="F883" s="142" t="s">
        <v>142</v>
      </c>
      <c r="G883" s="141">
        <v>103001</v>
      </c>
      <c r="H883" s="141" t="s">
        <v>109</v>
      </c>
      <c r="I883" s="141" t="s">
        <v>276</v>
      </c>
      <c r="J883" s="159" t="s">
        <v>248</v>
      </c>
      <c r="K883" s="160">
        <v>24207</v>
      </c>
      <c r="L883" s="141"/>
      <c r="M883" s="161">
        <v>7.03</v>
      </c>
      <c r="N883" s="161">
        <v>0</v>
      </c>
      <c r="O883" s="161">
        <v>0</v>
      </c>
      <c r="P883" s="161">
        <v>0</v>
      </c>
      <c r="Q883" s="104">
        <f t="shared" si="50"/>
        <v>7.03</v>
      </c>
      <c r="R883" s="104"/>
      <c r="S883" s="66">
        <f t="shared" si="51"/>
        <v>0.80212300000000014</v>
      </c>
    </row>
    <row r="884" spans="1:19" ht="15" x14ac:dyDescent="0.25">
      <c r="A884" s="141" t="s">
        <v>148</v>
      </c>
      <c r="B884" s="141" t="s">
        <v>335</v>
      </c>
      <c r="C884" s="141" t="s">
        <v>217</v>
      </c>
      <c r="D884" s="142" t="s">
        <v>242</v>
      </c>
      <c r="E884" s="158" t="s">
        <v>381</v>
      </c>
      <c r="F884" s="142" t="s">
        <v>142</v>
      </c>
      <c r="G884" s="141">
        <v>103001</v>
      </c>
      <c r="H884" s="141" t="s">
        <v>109</v>
      </c>
      <c r="I884" s="141" t="s">
        <v>276</v>
      </c>
      <c r="J884" s="159" t="s">
        <v>248</v>
      </c>
      <c r="K884" s="160">
        <v>24209</v>
      </c>
      <c r="L884" s="141"/>
      <c r="M884" s="161">
        <v>6.31</v>
      </c>
      <c r="N884" s="161">
        <v>0</v>
      </c>
      <c r="O884" s="161">
        <v>0</v>
      </c>
      <c r="P884" s="161">
        <v>0</v>
      </c>
      <c r="Q884" s="104">
        <f t="shared" si="50"/>
        <v>6.31</v>
      </c>
      <c r="R884" s="104"/>
      <c r="S884" s="66">
        <f t="shared" si="51"/>
        <v>0.71997100000000003</v>
      </c>
    </row>
    <row r="885" spans="1:19" ht="15" x14ac:dyDescent="0.25">
      <c r="A885" s="141" t="s">
        <v>148</v>
      </c>
      <c r="B885" s="141" t="s">
        <v>335</v>
      </c>
      <c r="C885" s="141" t="s">
        <v>217</v>
      </c>
      <c r="D885" s="142" t="s">
        <v>242</v>
      </c>
      <c r="E885" s="158" t="s">
        <v>381</v>
      </c>
      <c r="F885" s="142" t="s">
        <v>142</v>
      </c>
      <c r="G885" s="141">
        <v>103001</v>
      </c>
      <c r="H885" s="141" t="s">
        <v>109</v>
      </c>
      <c r="I885" s="141" t="s">
        <v>276</v>
      </c>
      <c r="J885" s="159" t="s">
        <v>248</v>
      </c>
      <c r="K885" s="160">
        <v>24210</v>
      </c>
      <c r="L885" s="141"/>
      <c r="M885" s="161">
        <v>9.82</v>
      </c>
      <c r="N885" s="161">
        <v>0</v>
      </c>
      <c r="O885" s="161">
        <v>0</v>
      </c>
      <c r="P885" s="161">
        <v>0</v>
      </c>
      <c r="Q885" s="104">
        <f t="shared" si="50"/>
        <v>9.82</v>
      </c>
      <c r="R885" s="104"/>
      <c r="S885" s="66">
        <f t="shared" si="51"/>
        <v>1.1204620000000001</v>
      </c>
    </row>
    <row r="886" spans="1:19" ht="15" x14ac:dyDescent="0.25">
      <c r="A886" s="141" t="s">
        <v>148</v>
      </c>
      <c r="B886" s="141" t="s">
        <v>335</v>
      </c>
      <c r="C886" s="141" t="s">
        <v>217</v>
      </c>
      <c r="D886" s="142" t="s">
        <v>242</v>
      </c>
      <c r="E886" s="158" t="s">
        <v>381</v>
      </c>
      <c r="F886" s="142" t="s">
        <v>142</v>
      </c>
      <c r="G886" s="141">
        <v>103001</v>
      </c>
      <c r="H886" s="141" t="s">
        <v>109</v>
      </c>
      <c r="I886" s="141" t="s">
        <v>276</v>
      </c>
      <c r="J886" s="159" t="s">
        <v>248</v>
      </c>
      <c r="K886" s="160">
        <v>24212</v>
      </c>
      <c r="L886" s="141"/>
      <c r="M886" s="161">
        <v>3.08</v>
      </c>
      <c r="N886" s="161">
        <v>0</v>
      </c>
      <c r="O886" s="161">
        <v>0</v>
      </c>
      <c r="P886" s="161">
        <v>0</v>
      </c>
      <c r="Q886" s="104">
        <f t="shared" si="50"/>
        <v>3.08</v>
      </c>
      <c r="R886" s="104"/>
      <c r="S886" s="66">
        <f t="shared" si="51"/>
        <v>0.35142800000000007</v>
      </c>
    </row>
    <row r="887" spans="1:19" ht="15" x14ac:dyDescent="0.25">
      <c r="A887" s="141" t="s">
        <v>148</v>
      </c>
      <c r="B887" s="141" t="s">
        <v>335</v>
      </c>
      <c r="C887" s="141" t="s">
        <v>217</v>
      </c>
      <c r="D887" s="142" t="s">
        <v>242</v>
      </c>
      <c r="E887" s="158" t="s">
        <v>381</v>
      </c>
      <c r="F887" s="142" t="s">
        <v>142</v>
      </c>
      <c r="G887" s="141">
        <v>103001</v>
      </c>
      <c r="H887" s="141" t="s">
        <v>109</v>
      </c>
      <c r="I887" s="141" t="s">
        <v>276</v>
      </c>
      <c r="J887" s="159" t="s">
        <v>248</v>
      </c>
      <c r="K887" s="160">
        <v>24213</v>
      </c>
      <c r="L887" s="141"/>
      <c r="M887" s="161">
        <v>9.1199999999999992</v>
      </c>
      <c r="N887" s="161">
        <v>0</v>
      </c>
      <c r="O887" s="161">
        <v>0</v>
      </c>
      <c r="P887" s="161">
        <v>0</v>
      </c>
      <c r="Q887" s="104">
        <f t="shared" si="50"/>
        <v>9.1199999999999992</v>
      </c>
      <c r="R887" s="104"/>
      <c r="S887" s="66">
        <f t="shared" si="51"/>
        <v>1.040592</v>
      </c>
    </row>
    <row r="888" spans="1:19" ht="15" x14ac:dyDescent="0.25">
      <c r="A888" s="141" t="s">
        <v>148</v>
      </c>
      <c r="B888" s="141" t="s">
        <v>335</v>
      </c>
      <c r="C888" s="141" t="s">
        <v>217</v>
      </c>
      <c r="D888" s="142" t="s">
        <v>242</v>
      </c>
      <c r="E888" s="158" t="s">
        <v>381</v>
      </c>
      <c r="F888" s="142" t="s">
        <v>142</v>
      </c>
      <c r="G888" s="141">
        <v>103001</v>
      </c>
      <c r="H888" s="141" t="s">
        <v>109</v>
      </c>
      <c r="I888" s="141" t="s">
        <v>276</v>
      </c>
      <c r="J888" s="159" t="s">
        <v>248</v>
      </c>
      <c r="K888" s="160">
        <v>24214</v>
      </c>
      <c r="L888" s="141"/>
      <c r="M888" s="161">
        <v>7.44</v>
      </c>
      <c r="N888" s="161">
        <v>0</v>
      </c>
      <c r="O888" s="161">
        <v>0</v>
      </c>
      <c r="P888" s="161">
        <v>0</v>
      </c>
      <c r="Q888" s="104">
        <f t="shared" si="50"/>
        <v>7.44</v>
      </c>
      <c r="R888" s="104"/>
      <c r="S888" s="66">
        <f t="shared" si="51"/>
        <v>0.8489040000000001</v>
      </c>
    </row>
    <row r="889" spans="1:19" ht="15" x14ac:dyDescent="0.25">
      <c r="A889" s="141" t="s">
        <v>148</v>
      </c>
      <c r="B889" s="141" t="s">
        <v>335</v>
      </c>
      <c r="C889" s="141" t="s">
        <v>217</v>
      </c>
      <c r="D889" s="142" t="s">
        <v>242</v>
      </c>
      <c r="E889" s="158" t="s">
        <v>381</v>
      </c>
      <c r="F889" s="142" t="s">
        <v>142</v>
      </c>
      <c r="G889" s="141">
        <v>103001</v>
      </c>
      <c r="H889" s="141" t="s">
        <v>109</v>
      </c>
      <c r="I889" s="141" t="s">
        <v>276</v>
      </c>
      <c r="J889" s="159" t="s">
        <v>248</v>
      </c>
      <c r="K889" s="160">
        <v>24220</v>
      </c>
      <c r="L889" s="141"/>
      <c r="M889" s="161">
        <v>6.31</v>
      </c>
      <c r="N889" s="161">
        <v>0</v>
      </c>
      <c r="O889" s="161">
        <v>0</v>
      </c>
      <c r="P889" s="161">
        <v>0</v>
      </c>
      <c r="Q889" s="104">
        <f t="shared" si="50"/>
        <v>6.31</v>
      </c>
      <c r="R889" s="104"/>
      <c r="S889" s="66">
        <f t="shared" si="51"/>
        <v>0.71997100000000003</v>
      </c>
    </row>
    <row r="890" spans="1:19" ht="15" x14ac:dyDescent="0.25">
      <c r="A890" s="141" t="s">
        <v>148</v>
      </c>
      <c r="B890" s="141" t="s">
        <v>335</v>
      </c>
      <c r="C890" s="141" t="s">
        <v>217</v>
      </c>
      <c r="D890" s="142" t="s">
        <v>242</v>
      </c>
      <c r="E890" s="158" t="s">
        <v>381</v>
      </c>
      <c r="F890" s="142" t="s">
        <v>142</v>
      </c>
      <c r="G890" s="141">
        <v>103001</v>
      </c>
      <c r="H890" s="141" t="s">
        <v>109</v>
      </c>
      <c r="I890" s="141" t="s">
        <v>276</v>
      </c>
      <c r="J890" s="159" t="s">
        <v>248</v>
      </c>
      <c r="K890" s="160">
        <v>24221</v>
      </c>
      <c r="L890" s="141"/>
      <c r="M890" s="161">
        <v>7.72</v>
      </c>
      <c r="N890" s="161">
        <v>0</v>
      </c>
      <c r="O890" s="161">
        <v>0</v>
      </c>
      <c r="P890" s="161">
        <v>0</v>
      </c>
      <c r="Q890" s="104">
        <f t="shared" si="50"/>
        <v>7.72</v>
      </c>
      <c r="R890" s="104"/>
      <c r="S890" s="66">
        <f t="shared" si="51"/>
        <v>0.88085200000000008</v>
      </c>
    </row>
    <row r="891" spans="1:19" ht="15" x14ac:dyDescent="0.25">
      <c r="A891" s="141" t="s">
        <v>148</v>
      </c>
      <c r="B891" s="141" t="s">
        <v>335</v>
      </c>
      <c r="C891" s="141" t="s">
        <v>217</v>
      </c>
      <c r="D891" s="142" t="s">
        <v>242</v>
      </c>
      <c r="E891" s="158" t="s">
        <v>381</v>
      </c>
      <c r="F891" s="142" t="s">
        <v>142</v>
      </c>
      <c r="G891" s="141">
        <v>103001</v>
      </c>
      <c r="H891" s="141" t="s">
        <v>109</v>
      </c>
      <c r="I891" s="141" t="s">
        <v>276</v>
      </c>
      <c r="J891" s="159" t="s">
        <v>248</v>
      </c>
      <c r="K891" s="160">
        <v>24222</v>
      </c>
      <c r="L891" s="141"/>
      <c r="M891" s="161">
        <v>14.73</v>
      </c>
      <c r="N891" s="161">
        <v>0</v>
      </c>
      <c r="O891" s="161">
        <v>0</v>
      </c>
      <c r="P891" s="161">
        <v>0</v>
      </c>
      <c r="Q891" s="104">
        <f t="shared" si="50"/>
        <v>14.73</v>
      </c>
      <c r="R891" s="104"/>
      <c r="S891" s="66">
        <f t="shared" si="51"/>
        <v>1.6806930000000002</v>
      </c>
    </row>
    <row r="892" spans="1:19" ht="15" x14ac:dyDescent="0.25">
      <c r="A892" s="141" t="s">
        <v>148</v>
      </c>
      <c r="B892" s="141" t="s">
        <v>335</v>
      </c>
      <c r="C892" s="141" t="s">
        <v>217</v>
      </c>
      <c r="D892" s="142" t="s">
        <v>242</v>
      </c>
      <c r="E892" s="158" t="s">
        <v>381</v>
      </c>
      <c r="F892" s="142" t="s">
        <v>142</v>
      </c>
      <c r="G892" s="141">
        <v>103001</v>
      </c>
      <c r="H892" s="141" t="s">
        <v>109</v>
      </c>
      <c r="I892" s="141" t="s">
        <v>276</v>
      </c>
      <c r="J892" s="159" t="s">
        <v>248</v>
      </c>
      <c r="K892" s="160">
        <v>24264</v>
      </c>
      <c r="L892" s="141"/>
      <c r="M892" s="161">
        <v>7.65</v>
      </c>
      <c r="N892" s="161">
        <v>0</v>
      </c>
      <c r="O892" s="161">
        <v>0</v>
      </c>
      <c r="P892" s="161">
        <v>0</v>
      </c>
      <c r="Q892" s="104">
        <f t="shared" si="50"/>
        <v>7.65</v>
      </c>
      <c r="R892" s="104"/>
      <c r="S892" s="66">
        <f t="shared" si="51"/>
        <v>0.87286500000000011</v>
      </c>
    </row>
    <row r="893" spans="1:19" ht="15" x14ac:dyDescent="0.25">
      <c r="A893" s="141" t="s">
        <v>148</v>
      </c>
      <c r="B893" s="141" t="s">
        <v>335</v>
      </c>
      <c r="C893" s="141" t="s">
        <v>217</v>
      </c>
      <c r="D893" s="142" t="s">
        <v>242</v>
      </c>
      <c r="E893" s="158" t="s">
        <v>381</v>
      </c>
      <c r="F893" s="142" t="s">
        <v>142</v>
      </c>
      <c r="G893" s="141">
        <v>103001</v>
      </c>
      <c r="H893" s="141" t="s">
        <v>109</v>
      </c>
      <c r="I893" s="141" t="s">
        <v>276</v>
      </c>
      <c r="J893" s="159" t="s">
        <v>248</v>
      </c>
      <c r="K893" s="160">
        <v>24265</v>
      </c>
      <c r="L893" s="141"/>
      <c r="M893" s="161">
        <v>12.63</v>
      </c>
      <c r="N893" s="161">
        <v>0</v>
      </c>
      <c r="O893" s="161">
        <v>0</v>
      </c>
      <c r="P893" s="161">
        <v>0</v>
      </c>
      <c r="Q893" s="104">
        <f t="shared" si="50"/>
        <v>12.63</v>
      </c>
      <c r="R893" s="104"/>
      <c r="S893" s="66">
        <f t="shared" si="51"/>
        <v>1.4410830000000001</v>
      </c>
    </row>
    <row r="894" spans="1:19" ht="15" x14ac:dyDescent="0.25">
      <c r="A894" s="141" t="s">
        <v>148</v>
      </c>
      <c r="B894" s="141" t="s">
        <v>335</v>
      </c>
      <c r="C894" s="141" t="s">
        <v>217</v>
      </c>
      <c r="D894" s="142" t="s">
        <v>242</v>
      </c>
      <c r="E894" s="158" t="s">
        <v>381</v>
      </c>
      <c r="F894" s="142" t="s">
        <v>142</v>
      </c>
      <c r="G894" s="141">
        <v>103001</v>
      </c>
      <c r="H894" s="141" t="s">
        <v>109</v>
      </c>
      <c r="I894" s="141" t="s">
        <v>276</v>
      </c>
      <c r="J894" s="159" t="s">
        <v>248</v>
      </c>
      <c r="K894" s="160">
        <v>24266</v>
      </c>
      <c r="L894" s="141"/>
      <c r="M894" s="161">
        <v>4.91</v>
      </c>
      <c r="N894" s="161">
        <v>0</v>
      </c>
      <c r="O894" s="161">
        <v>0</v>
      </c>
      <c r="P894" s="161">
        <v>0</v>
      </c>
      <c r="Q894" s="104">
        <f t="shared" si="50"/>
        <v>4.91</v>
      </c>
      <c r="R894" s="104"/>
      <c r="S894" s="66">
        <f t="shared" si="51"/>
        <v>0.56023100000000003</v>
      </c>
    </row>
    <row r="895" spans="1:19" ht="15" x14ac:dyDescent="0.25">
      <c r="A895" s="141" t="s">
        <v>148</v>
      </c>
      <c r="B895" s="141" t="s">
        <v>335</v>
      </c>
      <c r="C895" s="141" t="s">
        <v>217</v>
      </c>
      <c r="D895" s="142" t="s">
        <v>242</v>
      </c>
      <c r="E895" s="158" t="s">
        <v>381</v>
      </c>
      <c r="F895" s="142" t="s">
        <v>142</v>
      </c>
      <c r="G895" s="141">
        <v>103001</v>
      </c>
      <c r="H895" s="141" t="s">
        <v>109</v>
      </c>
      <c r="I895" s="141" t="s">
        <v>276</v>
      </c>
      <c r="J895" s="159" t="s">
        <v>248</v>
      </c>
      <c r="K895" s="160">
        <v>24267</v>
      </c>
      <c r="L895" s="141"/>
      <c r="M895" s="161">
        <v>4.91</v>
      </c>
      <c r="N895" s="161">
        <v>0</v>
      </c>
      <c r="O895" s="161">
        <v>0</v>
      </c>
      <c r="P895" s="161">
        <v>0</v>
      </c>
      <c r="Q895" s="104">
        <f t="shared" si="50"/>
        <v>4.91</v>
      </c>
      <c r="R895" s="104"/>
      <c r="S895" s="66">
        <f t="shared" si="51"/>
        <v>0.56023100000000003</v>
      </c>
    </row>
    <row r="896" spans="1:19" ht="15" x14ac:dyDescent="0.25">
      <c r="A896" s="141" t="s">
        <v>148</v>
      </c>
      <c r="B896" s="141" t="s">
        <v>335</v>
      </c>
      <c r="C896" s="141" t="s">
        <v>217</v>
      </c>
      <c r="D896" s="142" t="s">
        <v>242</v>
      </c>
      <c r="E896" s="158" t="s">
        <v>381</v>
      </c>
      <c r="F896" s="142" t="s">
        <v>142</v>
      </c>
      <c r="G896" s="141">
        <v>103001</v>
      </c>
      <c r="H896" s="141" t="s">
        <v>109</v>
      </c>
      <c r="I896" s="141" t="s">
        <v>276</v>
      </c>
      <c r="J896" s="159" t="s">
        <v>248</v>
      </c>
      <c r="K896" s="160">
        <v>24268</v>
      </c>
      <c r="L896" s="141"/>
      <c r="M896" s="161">
        <v>7.44</v>
      </c>
      <c r="N896" s="161">
        <v>0</v>
      </c>
      <c r="O896" s="161">
        <v>0</v>
      </c>
      <c r="P896" s="161">
        <v>0</v>
      </c>
      <c r="Q896" s="104">
        <f t="shared" si="50"/>
        <v>7.44</v>
      </c>
      <c r="R896" s="104"/>
      <c r="S896" s="66">
        <f t="shared" si="51"/>
        <v>0.8489040000000001</v>
      </c>
    </row>
    <row r="897" spans="1:19" ht="15" x14ac:dyDescent="0.25">
      <c r="A897" s="141" t="s">
        <v>148</v>
      </c>
      <c r="B897" s="141" t="s">
        <v>335</v>
      </c>
      <c r="C897" s="141" t="s">
        <v>217</v>
      </c>
      <c r="D897" s="142" t="s">
        <v>242</v>
      </c>
      <c r="E897" s="158" t="s">
        <v>381</v>
      </c>
      <c r="F897" s="142" t="s">
        <v>142</v>
      </c>
      <c r="G897" s="141">
        <v>103001</v>
      </c>
      <c r="H897" s="141" t="s">
        <v>109</v>
      </c>
      <c r="I897" s="141" t="s">
        <v>276</v>
      </c>
      <c r="J897" s="159" t="s">
        <v>248</v>
      </c>
      <c r="K897" s="160">
        <v>24269</v>
      </c>
      <c r="L897" s="141"/>
      <c r="M897" s="161">
        <v>6.03</v>
      </c>
      <c r="N897" s="161">
        <v>0</v>
      </c>
      <c r="O897" s="161">
        <v>0</v>
      </c>
      <c r="P897" s="161">
        <v>0</v>
      </c>
      <c r="Q897" s="104">
        <f t="shared" si="50"/>
        <v>6.03</v>
      </c>
      <c r="R897" s="104"/>
      <c r="S897" s="66">
        <f t="shared" si="51"/>
        <v>0.68802300000000016</v>
      </c>
    </row>
    <row r="898" spans="1:19" ht="15" x14ac:dyDescent="0.25">
      <c r="A898" s="141" t="s">
        <v>148</v>
      </c>
      <c r="B898" s="141" t="s">
        <v>335</v>
      </c>
      <c r="C898" s="141" t="s">
        <v>217</v>
      </c>
      <c r="D898" s="142" t="s">
        <v>242</v>
      </c>
      <c r="E898" s="158" t="s">
        <v>381</v>
      </c>
      <c r="F898" s="142" t="s">
        <v>142</v>
      </c>
      <c r="G898" s="141">
        <v>103001</v>
      </c>
      <c r="H898" s="141" t="s">
        <v>109</v>
      </c>
      <c r="I898" s="141" t="s">
        <v>276</v>
      </c>
      <c r="J898" s="159" t="s">
        <v>248</v>
      </c>
      <c r="K898" s="160">
        <v>24270</v>
      </c>
      <c r="L898" s="141"/>
      <c r="M898" s="161">
        <v>6.31</v>
      </c>
      <c r="N898" s="161">
        <v>0</v>
      </c>
      <c r="O898" s="161">
        <v>0</v>
      </c>
      <c r="P898" s="161">
        <v>0</v>
      </c>
      <c r="Q898" s="104">
        <f t="shared" si="50"/>
        <v>6.31</v>
      </c>
      <c r="R898" s="104"/>
      <c r="S898" s="66">
        <f t="shared" si="51"/>
        <v>0.71997100000000003</v>
      </c>
    </row>
    <row r="899" spans="1:19" ht="15" x14ac:dyDescent="0.25">
      <c r="A899" s="141" t="s">
        <v>148</v>
      </c>
      <c r="B899" s="141" t="s">
        <v>335</v>
      </c>
      <c r="C899" s="141" t="s">
        <v>217</v>
      </c>
      <c r="D899" s="142" t="s">
        <v>242</v>
      </c>
      <c r="E899" s="158" t="s">
        <v>381</v>
      </c>
      <c r="F899" s="142" t="s">
        <v>142</v>
      </c>
      <c r="G899" s="141">
        <v>103001</v>
      </c>
      <c r="H899" s="141" t="s">
        <v>109</v>
      </c>
      <c r="I899" s="141" t="s">
        <v>276</v>
      </c>
      <c r="J899" s="159" t="s">
        <v>248</v>
      </c>
      <c r="K899" s="160">
        <v>24271</v>
      </c>
      <c r="L899" s="141"/>
      <c r="M899" s="161">
        <v>16.98</v>
      </c>
      <c r="N899" s="161">
        <v>0</v>
      </c>
      <c r="O899" s="161">
        <v>0</v>
      </c>
      <c r="P899" s="161">
        <v>0</v>
      </c>
      <c r="Q899" s="104">
        <f t="shared" si="50"/>
        <v>16.98</v>
      </c>
      <c r="R899" s="104"/>
      <c r="S899" s="66">
        <f t="shared" si="51"/>
        <v>1.9374180000000003</v>
      </c>
    </row>
    <row r="900" spans="1:19" ht="15" x14ac:dyDescent="0.25">
      <c r="A900" s="141" t="s">
        <v>148</v>
      </c>
      <c r="B900" s="141" t="s">
        <v>335</v>
      </c>
      <c r="C900" s="141" t="s">
        <v>217</v>
      </c>
      <c r="D900" s="142" t="s">
        <v>242</v>
      </c>
      <c r="E900" s="158" t="s">
        <v>381</v>
      </c>
      <c r="F900" s="142" t="s">
        <v>142</v>
      </c>
      <c r="G900" s="141">
        <v>103001</v>
      </c>
      <c r="H900" s="141" t="s">
        <v>109</v>
      </c>
      <c r="I900" s="141" t="s">
        <v>276</v>
      </c>
      <c r="J900" s="159" t="s">
        <v>248</v>
      </c>
      <c r="K900" s="160">
        <v>24272</v>
      </c>
      <c r="L900" s="141"/>
      <c r="M900" s="161">
        <v>8.14</v>
      </c>
      <c r="N900" s="161">
        <v>0</v>
      </c>
      <c r="O900" s="161">
        <v>0</v>
      </c>
      <c r="P900" s="161">
        <v>0</v>
      </c>
      <c r="Q900" s="104">
        <f t="shared" si="50"/>
        <v>8.14</v>
      </c>
      <c r="R900" s="104"/>
      <c r="S900" s="66">
        <f t="shared" si="51"/>
        <v>0.9287740000000001</v>
      </c>
    </row>
    <row r="901" spans="1:19" ht="15" x14ac:dyDescent="0.25">
      <c r="A901" s="141" t="s">
        <v>148</v>
      </c>
      <c r="B901" s="141" t="s">
        <v>335</v>
      </c>
      <c r="C901" s="141" t="s">
        <v>217</v>
      </c>
      <c r="D901" s="142" t="s">
        <v>242</v>
      </c>
      <c r="E901" s="158" t="s">
        <v>381</v>
      </c>
      <c r="F901" s="142" t="s">
        <v>142</v>
      </c>
      <c r="G901" s="141">
        <v>103001</v>
      </c>
      <c r="H901" s="141" t="s">
        <v>109</v>
      </c>
      <c r="I901" s="141" t="s">
        <v>276</v>
      </c>
      <c r="J901" s="159" t="s">
        <v>248</v>
      </c>
      <c r="K901" s="160">
        <v>24273</v>
      </c>
      <c r="L901" s="141"/>
      <c r="M901" s="161">
        <v>8.7100000000000009</v>
      </c>
      <c r="N901" s="161">
        <v>0</v>
      </c>
      <c r="O901" s="161">
        <v>0</v>
      </c>
      <c r="P901" s="161">
        <v>0</v>
      </c>
      <c r="Q901" s="104">
        <f t="shared" si="50"/>
        <v>8.7100000000000009</v>
      </c>
      <c r="R901" s="104"/>
      <c r="S901" s="66">
        <f t="shared" si="51"/>
        <v>0.99381100000000011</v>
      </c>
    </row>
    <row r="902" spans="1:19" ht="15" x14ac:dyDescent="0.25">
      <c r="A902" s="141" t="s">
        <v>148</v>
      </c>
      <c r="B902" s="141" t="s">
        <v>335</v>
      </c>
      <c r="C902" s="141" t="s">
        <v>217</v>
      </c>
      <c r="D902" s="142" t="s">
        <v>242</v>
      </c>
      <c r="E902" s="158" t="s">
        <v>381</v>
      </c>
      <c r="F902" s="142" t="s">
        <v>142</v>
      </c>
      <c r="G902" s="141">
        <v>103001</v>
      </c>
      <c r="H902" s="141" t="s">
        <v>109</v>
      </c>
      <c r="I902" s="141" t="s">
        <v>276</v>
      </c>
      <c r="J902" s="159" t="s">
        <v>248</v>
      </c>
      <c r="K902" s="160">
        <v>24274</v>
      </c>
      <c r="L902" s="141"/>
      <c r="M902" s="161">
        <v>12.35</v>
      </c>
      <c r="N902" s="161">
        <v>0</v>
      </c>
      <c r="O902" s="161">
        <v>0</v>
      </c>
      <c r="P902" s="161">
        <v>0</v>
      </c>
      <c r="Q902" s="104">
        <f t="shared" si="50"/>
        <v>12.35</v>
      </c>
      <c r="R902" s="104"/>
      <c r="S902" s="66">
        <f t="shared" si="51"/>
        <v>1.409135</v>
      </c>
    </row>
    <row r="903" spans="1:19" ht="15" x14ac:dyDescent="0.25">
      <c r="A903" s="141" t="s">
        <v>148</v>
      </c>
      <c r="B903" s="141" t="s">
        <v>335</v>
      </c>
      <c r="C903" s="141" t="s">
        <v>217</v>
      </c>
      <c r="D903" s="142" t="s">
        <v>242</v>
      </c>
      <c r="E903" s="158" t="s">
        <v>381</v>
      </c>
      <c r="F903" s="142" t="s">
        <v>142</v>
      </c>
      <c r="G903" s="141">
        <v>103001</v>
      </c>
      <c r="H903" s="141" t="s">
        <v>109</v>
      </c>
      <c r="I903" s="141" t="s">
        <v>276</v>
      </c>
      <c r="J903" s="159" t="s">
        <v>248</v>
      </c>
      <c r="K903" s="160">
        <v>24277</v>
      </c>
      <c r="L903" s="141"/>
      <c r="M903" s="161">
        <v>5.33</v>
      </c>
      <c r="N903" s="161">
        <v>0</v>
      </c>
      <c r="O903" s="161">
        <v>0</v>
      </c>
      <c r="P903" s="161">
        <v>0</v>
      </c>
      <c r="Q903" s="104">
        <f t="shared" si="50"/>
        <v>5.33</v>
      </c>
      <c r="R903" s="104"/>
      <c r="S903" s="66">
        <f t="shared" si="51"/>
        <v>0.60815300000000005</v>
      </c>
    </row>
    <row r="904" spans="1:19" ht="15" x14ac:dyDescent="0.25">
      <c r="A904" s="141" t="s">
        <v>148</v>
      </c>
      <c r="B904" s="141" t="s">
        <v>335</v>
      </c>
      <c r="C904" s="141" t="s">
        <v>217</v>
      </c>
      <c r="D904" s="142" t="s">
        <v>242</v>
      </c>
      <c r="E904" s="158" t="s">
        <v>381</v>
      </c>
      <c r="F904" s="142" t="s">
        <v>142</v>
      </c>
      <c r="G904" s="141">
        <v>104000</v>
      </c>
      <c r="H904" s="141" t="s">
        <v>110</v>
      </c>
      <c r="I904" s="141" t="s">
        <v>276</v>
      </c>
      <c r="J904" s="159" t="s">
        <v>248</v>
      </c>
      <c r="K904" s="160">
        <v>21112</v>
      </c>
      <c r="L904" s="141"/>
      <c r="M904" s="161">
        <v>219.79</v>
      </c>
      <c r="N904" s="161">
        <v>0</v>
      </c>
      <c r="O904" s="161">
        <v>0</v>
      </c>
      <c r="P904" s="161">
        <v>0</v>
      </c>
      <c r="Q904" s="104">
        <f t="shared" ref="Q904:Q966" si="52">M904-P904</f>
        <v>219.79</v>
      </c>
      <c r="R904" s="104"/>
      <c r="S904" s="66">
        <f t="shared" si="51"/>
        <v>25.078039</v>
      </c>
    </row>
    <row r="905" spans="1:19" ht="15" x14ac:dyDescent="0.25">
      <c r="A905" s="141" t="s">
        <v>148</v>
      </c>
      <c r="B905" s="141" t="s">
        <v>335</v>
      </c>
      <c r="C905" s="141" t="s">
        <v>217</v>
      </c>
      <c r="D905" s="142" t="s">
        <v>242</v>
      </c>
      <c r="E905" s="158" t="s">
        <v>381</v>
      </c>
      <c r="F905" s="142" t="s">
        <v>142</v>
      </c>
      <c r="G905" s="141">
        <v>104000</v>
      </c>
      <c r="H905" s="141" t="s">
        <v>110</v>
      </c>
      <c r="I905" s="141" t="s">
        <v>276</v>
      </c>
      <c r="J905" s="159" t="s">
        <v>248</v>
      </c>
      <c r="K905" s="160">
        <v>24201</v>
      </c>
      <c r="L905" s="141"/>
      <c r="M905" s="161">
        <v>678.6</v>
      </c>
      <c r="N905" s="161">
        <v>0</v>
      </c>
      <c r="O905" s="161">
        <v>0</v>
      </c>
      <c r="P905" s="161">
        <v>0</v>
      </c>
      <c r="Q905" s="104">
        <f t="shared" si="52"/>
        <v>678.6</v>
      </c>
      <c r="R905" s="104"/>
      <c r="S905" s="66">
        <f t="shared" ref="S905:S968" si="53">M905*$S$7*1.141</f>
        <v>77.428259999999995</v>
      </c>
    </row>
    <row r="906" spans="1:19" ht="15" x14ac:dyDescent="0.25">
      <c r="A906" s="141" t="s">
        <v>148</v>
      </c>
      <c r="B906" s="141" t="s">
        <v>335</v>
      </c>
      <c r="C906" s="141" t="s">
        <v>217</v>
      </c>
      <c r="D906" s="142" t="s">
        <v>242</v>
      </c>
      <c r="E906" s="158" t="s">
        <v>381</v>
      </c>
      <c r="F906" s="142" t="s">
        <v>142</v>
      </c>
      <c r="G906" s="141">
        <v>104000</v>
      </c>
      <c r="H906" s="141" t="s">
        <v>110</v>
      </c>
      <c r="I906" s="141" t="s">
        <v>276</v>
      </c>
      <c r="J906" s="159" t="s">
        <v>248</v>
      </c>
      <c r="K906" s="160">
        <v>24203</v>
      </c>
      <c r="L906" s="141"/>
      <c r="M906" s="161">
        <v>751.67</v>
      </c>
      <c r="N906" s="161">
        <v>0</v>
      </c>
      <c r="O906" s="161">
        <v>0</v>
      </c>
      <c r="P906" s="161">
        <v>0</v>
      </c>
      <c r="Q906" s="104">
        <f t="shared" si="52"/>
        <v>751.67</v>
      </c>
      <c r="R906" s="104"/>
      <c r="S906" s="66">
        <f t="shared" si="53"/>
        <v>85.765546999999998</v>
      </c>
    </row>
    <row r="907" spans="1:19" ht="15" x14ac:dyDescent="0.25">
      <c r="A907" s="141" t="s">
        <v>148</v>
      </c>
      <c r="B907" s="141" t="s">
        <v>335</v>
      </c>
      <c r="C907" s="141" t="s">
        <v>217</v>
      </c>
      <c r="D907" s="142" t="s">
        <v>242</v>
      </c>
      <c r="E907" s="158" t="s">
        <v>381</v>
      </c>
      <c r="F907" s="142" t="s">
        <v>142</v>
      </c>
      <c r="G907" s="141">
        <v>104000</v>
      </c>
      <c r="H907" s="141" t="s">
        <v>110</v>
      </c>
      <c r="I907" s="141" t="s">
        <v>276</v>
      </c>
      <c r="J907" s="159" t="s">
        <v>248</v>
      </c>
      <c r="K907" s="160">
        <v>24206</v>
      </c>
      <c r="L907" s="141"/>
      <c r="M907" s="161">
        <v>574.19000000000005</v>
      </c>
      <c r="N907" s="161">
        <v>0</v>
      </c>
      <c r="O907" s="161">
        <v>0</v>
      </c>
      <c r="P907" s="161">
        <v>0</v>
      </c>
      <c r="Q907" s="104">
        <f t="shared" si="52"/>
        <v>574.19000000000005</v>
      </c>
      <c r="R907" s="104"/>
      <c r="S907" s="66">
        <f t="shared" si="53"/>
        <v>65.515079000000014</v>
      </c>
    </row>
    <row r="908" spans="1:19" ht="15" x14ac:dyDescent="0.25">
      <c r="A908" s="141" t="s">
        <v>148</v>
      </c>
      <c r="B908" s="141" t="s">
        <v>335</v>
      </c>
      <c r="C908" s="141" t="s">
        <v>217</v>
      </c>
      <c r="D908" s="142" t="s">
        <v>242</v>
      </c>
      <c r="E908" s="158" t="s">
        <v>381</v>
      </c>
      <c r="F908" s="142" t="s">
        <v>142</v>
      </c>
      <c r="G908" s="141">
        <v>104000</v>
      </c>
      <c r="H908" s="141" t="s">
        <v>110</v>
      </c>
      <c r="I908" s="141" t="s">
        <v>276</v>
      </c>
      <c r="J908" s="159" t="s">
        <v>248</v>
      </c>
      <c r="K908" s="160">
        <v>24207</v>
      </c>
      <c r="L908" s="141"/>
      <c r="M908" s="161">
        <v>511.81</v>
      </c>
      <c r="N908" s="161">
        <v>0</v>
      </c>
      <c r="O908" s="161">
        <v>0</v>
      </c>
      <c r="P908" s="161">
        <v>0</v>
      </c>
      <c r="Q908" s="104">
        <f t="shared" si="52"/>
        <v>511.81</v>
      </c>
      <c r="R908" s="104"/>
      <c r="S908" s="66">
        <f t="shared" si="53"/>
        <v>58.397521000000005</v>
      </c>
    </row>
    <row r="909" spans="1:19" ht="15" x14ac:dyDescent="0.25">
      <c r="A909" s="141" t="s">
        <v>148</v>
      </c>
      <c r="B909" s="141" t="s">
        <v>335</v>
      </c>
      <c r="C909" s="141" t="s">
        <v>217</v>
      </c>
      <c r="D909" s="142" t="s">
        <v>242</v>
      </c>
      <c r="E909" s="158" t="s">
        <v>381</v>
      </c>
      <c r="F909" s="142" t="s">
        <v>142</v>
      </c>
      <c r="G909" s="141">
        <v>104000</v>
      </c>
      <c r="H909" s="141" t="s">
        <v>110</v>
      </c>
      <c r="I909" s="141" t="s">
        <v>276</v>
      </c>
      <c r="J909" s="159" t="s">
        <v>248</v>
      </c>
      <c r="K909" s="160">
        <v>24209</v>
      </c>
      <c r="L909" s="141"/>
      <c r="M909" s="161">
        <v>469.8</v>
      </c>
      <c r="N909" s="161">
        <v>0</v>
      </c>
      <c r="O909" s="161">
        <v>0</v>
      </c>
      <c r="P909" s="161">
        <v>0</v>
      </c>
      <c r="Q909" s="104">
        <f t="shared" si="52"/>
        <v>469.8</v>
      </c>
      <c r="R909" s="104"/>
      <c r="S909" s="66">
        <f t="shared" si="53"/>
        <v>53.604180000000007</v>
      </c>
    </row>
    <row r="910" spans="1:19" ht="15" x14ac:dyDescent="0.25">
      <c r="A910" s="141" t="s">
        <v>148</v>
      </c>
      <c r="B910" s="141" t="s">
        <v>335</v>
      </c>
      <c r="C910" s="141" t="s">
        <v>217</v>
      </c>
      <c r="D910" s="142" t="s">
        <v>242</v>
      </c>
      <c r="E910" s="158" t="s">
        <v>381</v>
      </c>
      <c r="F910" s="142" t="s">
        <v>142</v>
      </c>
      <c r="G910" s="141">
        <v>104000</v>
      </c>
      <c r="H910" s="141" t="s">
        <v>110</v>
      </c>
      <c r="I910" s="141" t="s">
        <v>276</v>
      </c>
      <c r="J910" s="159" t="s">
        <v>248</v>
      </c>
      <c r="K910" s="160">
        <v>24210</v>
      </c>
      <c r="L910" s="141"/>
      <c r="M910" s="161">
        <v>730.8</v>
      </c>
      <c r="N910" s="161">
        <v>0</v>
      </c>
      <c r="O910" s="161">
        <v>0</v>
      </c>
      <c r="P910" s="161">
        <v>0</v>
      </c>
      <c r="Q910" s="104">
        <f t="shared" si="52"/>
        <v>730.8</v>
      </c>
      <c r="R910" s="104"/>
      <c r="S910" s="66">
        <f t="shared" si="53"/>
        <v>83.384280000000004</v>
      </c>
    </row>
    <row r="911" spans="1:19" ht="15" x14ac:dyDescent="0.25">
      <c r="A911" s="141" t="s">
        <v>148</v>
      </c>
      <c r="B911" s="141" t="s">
        <v>335</v>
      </c>
      <c r="C911" s="141" t="s">
        <v>217</v>
      </c>
      <c r="D911" s="142" t="s">
        <v>242</v>
      </c>
      <c r="E911" s="158" t="s">
        <v>381</v>
      </c>
      <c r="F911" s="142" t="s">
        <v>142</v>
      </c>
      <c r="G911" s="141">
        <v>104000</v>
      </c>
      <c r="H911" s="141" t="s">
        <v>110</v>
      </c>
      <c r="I911" s="141" t="s">
        <v>276</v>
      </c>
      <c r="J911" s="159" t="s">
        <v>248</v>
      </c>
      <c r="K911" s="160">
        <v>24212</v>
      </c>
      <c r="L911" s="141"/>
      <c r="M911" s="161">
        <v>229.68</v>
      </c>
      <c r="N911" s="161">
        <v>0</v>
      </c>
      <c r="O911" s="161">
        <v>0</v>
      </c>
      <c r="P911" s="161">
        <v>0</v>
      </c>
      <c r="Q911" s="104">
        <f t="shared" si="52"/>
        <v>229.68</v>
      </c>
      <c r="R911" s="104"/>
      <c r="S911" s="66">
        <f t="shared" si="53"/>
        <v>26.206488000000004</v>
      </c>
    </row>
    <row r="912" spans="1:19" ht="15" x14ac:dyDescent="0.25">
      <c r="A912" s="141" t="s">
        <v>148</v>
      </c>
      <c r="B912" s="141" t="s">
        <v>335</v>
      </c>
      <c r="C912" s="141" t="s">
        <v>217</v>
      </c>
      <c r="D912" s="142" t="s">
        <v>242</v>
      </c>
      <c r="E912" s="158" t="s">
        <v>381</v>
      </c>
      <c r="F912" s="142" t="s">
        <v>142</v>
      </c>
      <c r="G912" s="141">
        <v>104000</v>
      </c>
      <c r="H912" s="141" t="s">
        <v>110</v>
      </c>
      <c r="I912" s="141" t="s">
        <v>276</v>
      </c>
      <c r="J912" s="159" t="s">
        <v>248</v>
      </c>
      <c r="K912" s="160">
        <v>24213</v>
      </c>
      <c r="L912" s="141"/>
      <c r="M912" s="161">
        <v>678.6</v>
      </c>
      <c r="N912" s="161">
        <v>0</v>
      </c>
      <c r="O912" s="161">
        <v>0</v>
      </c>
      <c r="P912" s="161">
        <v>0</v>
      </c>
      <c r="Q912" s="104">
        <f t="shared" si="52"/>
        <v>678.6</v>
      </c>
      <c r="R912" s="104"/>
      <c r="S912" s="66">
        <f t="shared" si="53"/>
        <v>77.428259999999995</v>
      </c>
    </row>
    <row r="913" spans="1:19" ht="15" x14ac:dyDescent="0.25">
      <c r="A913" s="141" t="s">
        <v>148</v>
      </c>
      <c r="B913" s="141" t="s">
        <v>335</v>
      </c>
      <c r="C913" s="141" t="s">
        <v>217</v>
      </c>
      <c r="D913" s="142" t="s">
        <v>242</v>
      </c>
      <c r="E913" s="158" t="s">
        <v>381</v>
      </c>
      <c r="F913" s="142" t="s">
        <v>142</v>
      </c>
      <c r="G913" s="141">
        <v>104000</v>
      </c>
      <c r="H913" s="141" t="s">
        <v>110</v>
      </c>
      <c r="I913" s="141" t="s">
        <v>276</v>
      </c>
      <c r="J913" s="159" t="s">
        <v>248</v>
      </c>
      <c r="K913" s="160">
        <v>24214</v>
      </c>
      <c r="L913" s="141"/>
      <c r="M913" s="161">
        <v>553.32000000000005</v>
      </c>
      <c r="N913" s="161">
        <v>0</v>
      </c>
      <c r="O913" s="161">
        <v>0</v>
      </c>
      <c r="P913" s="161">
        <v>0</v>
      </c>
      <c r="Q913" s="104">
        <f t="shared" si="52"/>
        <v>553.32000000000005</v>
      </c>
      <c r="R913" s="104"/>
      <c r="S913" s="66">
        <f t="shared" si="53"/>
        <v>63.133812000000013</v>
      </c>
    </row>
    <row r="914" spans="1:19" ht="15" x14ac:dyDescent="0.25">
      <c r="A914" s="141" t="s">
        <v>148</v>
      </c>
      <c r="B914" s="141" t="s">
        <v>335</v>
      </c>
      <c r="C914" s="141" t="s">
        <v>217</v>
      </c>
      <c r="D914" s="142" t="s">
        <v>242</v>
      </c>
      <c r="E914" s="158" t="s">
        <v>381</v>
      </c>
      <c r="F914" s="142" t="s">
        <v>142</v>
      </c>
      <c r="G914" s="141">
        <v>104000</v>
      </c>
      <c r="H914" s="141" t="s">
        <v>110</v>
      </c>
      <c r="I914" s="141" t="s">
        <v>276</v>
      </c>
      <c r="J914" s="159" t="s">
        <v>248</v>
      </c>
      <c r="K914" s="160">
        <v>24220</v>
      </c>
      <c r="L914" s="141"/>
      <c r="M914" s="161">
        <v>469.8</v>
      </c>
      <c r="N914" s="161">
        <v>0</v>
      </c>
      <c r="O914" s="161">
        <v>0</v>
      </c>
      <c r="P914" s="161">
        <v>0</v>
      </c>
      <c r="Q914" s="104">
        <f t="shared" si="52"/>
        <v>469.8</v>
      </c>
      <c r="R914" s="104"/>
      <c r="S914" s="66">
        <f t="shared" si="53"/>
        <v>53.604180000000007</v>
      </c>
    </row>
    <row r="915" spans="1:19" ht="15" x14ac:dyDescent="0.25">
      <c r="A915" s="141" t="s">
        <v>148</v>
      </c>
      <c r="B915" s="141" t="s">
        <v>335</v>
      </c>
      <c r="C915" s="141" t="s">
        <v>217</v>
      </c>
      <c r="D915" s="142" t="s">
        <v>242</v>
      </c>
      <c r="E915" s="158" t="s">
        <v>381</v>
      </c>
      <c r="F915" s="142" t="s">
        <v>142</v>
      </c>
      <c r="G915" s="141">
        <v>104000</v>
      </c>
      <c r="H915" s="141" t="s">
        <v>110</v>
      </c>
      <c r="I915" s="141" t="s">
        <v>276</v>
      </c>
      <c r="J915" s="159" t="s">
        <v>248</v>
      </c>
      <c r="K915" s="160">
        <v>24221</v>
      </c>
      <c r="L915" s="141"/>
      <c r="M915" s="161">
        <v>574.19000000000005</v>
      </c>
      <c r="N915" s="161">
        <v>0</v>
      </c>
      <c r="O915" s="161">
        <v>0</v>
      </c>
      <c r="P915" s="161">
        <v>0</v>
      </c>
      <c r="Q915" s="104">
        <f t="shared" si="52"/>
        <v>574.19000000000005</v>
      </c>
      <c r="R915" s="104"/>
      <c r="S915" s="66">
        <f t="shared" si="53"/>
        <v>65.515079000000014</v>
      </c>
    </row>
    <row r="916" spans="1:19" ht="15" x14ac:dyDescent="0.25">
      <c r="A916" s="141" t="s">
        <v>148</v>
      </c>
      <c r="B916" s="141" t="s">
        <v>335</v>
      </c>
      <c r="C916" s="141" t="s">
        <v>217</v>
      </c>
      <c r="D916" s="142" t="s">
        <v>242</v>
      </c>
      <c r="E916" s="158" t="s">
        <v>381</v>
      </c>
      <c r="F916" s="142" t="s">
        <v>142</v>
      </c>
      <c r="G916" s="141">
        <v>104000</v>
      </c>
      <c r="H916" s="141" t="s">
        <v>110</v>
      </c>
      <c r="I916" s="141" t="s">
        <v>276</v>
      </c>
      <c r="J916" s="159" t="s">
        <v>248</v>
      </c>
      <c r="K916" s="160">
        <v>24222</v>
      </c>
      <c r="L916" s="141"/>
      <c r="M916" s="161">
        <v>1096.19</v>
      </c>
      <c r="N916" s="161">
        <v>0</v>
      </c>
      <c r="O916" s="161">
        <v>0</v>
      </c>
      <c r="P916" s="161">
        <v>0</v>
      </c>
      <c r="Q916" s="104">
        <f t="shared" si="52"/>
        <v>1096.19</v>
      </c>
      <c r="R916" s="104"/>
      <c r="S916" s="66">
        <f t="shared" si="53"/>
        <v>125.07527900000002</v>
      </c>
    </row>
    <row r="917" spans="1:19" ht="15" x14ac:dyDescent="0.25">
      <c r="A917" s="141" t="s">
        <v>148</v>
      </c>
      <c r="B917" s="141" t="s">
        <v>335</v>
      </c>
      <c r="C917" s="141" t="s">
        <v>217</v>
      </c>
      <c r="D917" s="142" t="s">
        <v>242</v>
      </c>
      <c r="E917" s="158" t="s">
        <v>381</v>
      </c>
      <c r="F917" s="142" t="s">
        <v>142</v>
      </c>
      <c r="G917" s="141">
        <v>104000</v>
      </c>
      <c r="H917" s="141" t="s">
        <v>110</v>
      </c>
      <c r="I917" s="141" t="s">
        <v>276</v>
      </c>
      <c r="J917" s="159" t="s">
        <v>248</v>
      </c>
      <c r="K917" s="160">
        <v>24264</v>
      </c>
      <c r="L917" s="141"/>
      <c r="M917" s="161">
        <v>569.17999999999995</v>
      </c>
      <c r="N917" s="161">
        <v>0</v>
      </c>
      <c r="O917" s="161">
        <v>0</v>
      </c>
      <c r="P917" s="161">
        <v>0</v>
      </c>
      <c r="Q917" s="104">
        <f t="shared" si="52"/>
        <v>569.17999999999995</v>
      </c>
      <c r="R917" s="104"/>
      <c r="S917" s="66">
        <f t="shared" si="53"/>
        <v>64.943438</v>
      </c>
    </row>
    <row r="918" spans="1:19" ht="15" x14ac:dyDescent="0.25">
      <c r="A918" s="141" t="s">
        <v>148</v>
      </c>
      <c r="B918" s="141" t="s">
        <v>335</v>
      </c>
      <c r="C918" s="141" t="s">
        <v>217</v>
      </c>
      <c r="D918" s="142" t="s">
        <v>242</v>
      </c>
      <c r="E918" s="158" t="s">
        <v>381</v>
      </c>
      <c r="F918" s="142" t="s">
        <v>142</v>
      </c>
      <c r="G918" s="141">
        <v>104000</v>
      </c>
      <c r="H918" s="141" t="s">
        <v>110</v>
      </c>
      <c r="I918" s="141" t="s">
        <v>276</v>
      </c>
      <c r="J918" s="159" t="s">
        <v>248</v>
      </c>
      <c r="K918" s="160">
        <v>24265</v>
      </c>
      <c r="L918" s="141"/>
      <c r="M918" s="161">
        <v>939.6</v>
      </c>
      <c r="N918" s="161">
        <v>0</v>
      </c>
      <c r="O918" s="161">
        <v>0</v>
      </c>
      <c r="P918" s="161">
        <v>0</v>
      </c>
      <c r="Q918" s="104">
        <f t="shared" si="52"/>
        <v>939.6</v>
      </c>
      <c r="R918" s="104"/>
      <c r="S918" s="66">
        <f t="shared" si="53"/>
        <v>107.20836000000001</v>
      </c>
    </row>
    <row r="919" spans="1:19" ht="15" x14ac:dyDescent="0.25">
      <c r="A919" s="141" t="s">
        <v>148</v>
      </c>
      <c r="B919" s="141" t="s">
        <v>335</v>
      </c>
      <c r="C919" s="141" t="s">
        <v>217</v>
      </c>
      <c r="D919" s="142" t="s">
        <v>242</v>
      </c>
      <c r="E919" s="158" t="s">
        <v>381</v>
      </c>
      <c r="F919" s="142" t="s">
        <v>142</v>
      </c>
      <c r="G919" s="141">
        <v>104000</v>
      </c>
      <c r="H919" s="141" t="s">
        <v>110</v>
      </c>
      <c r="I919" s="141" t="s">
        <v>276</v>
      </c>
      <c r="J919" s="159" t="s">
        <v>248</v>
      </c>
      <c r="K919" s="160">
        <v>24266</v>
      </c>
      <c r="L919" s="141"/>
      <c r="M919" s="161">
        <v>365.39</v>
      </c>
      <c r="N919" s="161">
        <v>0</v>
      </c>
      <c r="O919" s="161">
        <v>0</v>
      </c>
      <c r="P919" s="161">
        <v>0</v>
      </c>
      <c r="Q919" s="104">
        <f t="shared" si="52"/>
        <v>365.39</v>
      </c>
      <c r="R919" s="104"/>
      <c r="S919" s="66">
        <f t="shared" si="53"/>
        <v>41.690999000000005</v>
      </c>
    </row>
    <row r="920" spans="1:19" ht="15" x14ac:dyDescent="0.25">
      <c r="A920" s="141" t="s">
        <v>148</v>
      </c>
      <c r="B920" s="141" t="s">
        <v>335</v>
      </c>
      <c r="C920" s="141" t="s">
        <v>217</v>
      </c>
      <c r="D920" s="142" t="s">
        <v>242</v>
      </c>
      <c r="E920" s="158" t="s">
        <v>381</v>
      </c>
      <c r="F920" s="142" t="s">
        <v>142</v>
      </c>
      <c r="G920" s="141">
        <v>104000</v>
      </c>
      <c r="H920" s="141" t="s">
        <v>110</v>
      </c>
      <c r="I920" s="141" t="s">
        <v>276</v>
      </c>
      <c r="J920" s="159" t="s">
        <v>248</v>
      </c>
      <c r="K920" s="160">
        <v>24267</v>
      </c>
      <c r="L920" s="141"/>
      <c r="M920" s="161">
        <v>365.39</v>
      </c>
      <c r="N920" s="161">
        <v>0</v>
      </c>
      <c r="O920" s="161">
        <v>0</v>
      </c>
      <c r="P920" s="161">
        <v>0</v>
      </c>
      <c r="Q920" s="104">
        <f t="shared" si="52"/>
        <v>365.39</v>
      </c>
      <c r="R920" s="104"/>
      <c r="S920" s="66">
        <f t="shared" si="53"/>
        <v>41.690999000000005</v>
      </c>
    </row>
    <row r="921" spans="1:19" ht="15" x14ac:dyDescent="0.25">
      <c r="A921" s="141" t="s">
        <v>148</v>
      </c>
      <c r="B921" s="141" t="s">
        <v>335</v>
      </c>
      <c r="C921" s="141" t="s">
        <v>217</v>
      </c>
      <c r="D921" s="142" t="s">
        <v>242</v>
      </c>
      <c r="E921" s="158" t="s">
        <v>381</v>
      </c>
      <c r="F921" s="142" t="s">
        <v>142</v>
      </c>
      <c r="G921" s="141">
        <v>104000</v>
      </c>
      <c r="H921" s="141" t="s">
        <v>110</v>
      </c>
      <c r="I921" s="141" t="s">
        <v>276</v>
      </c>
      <c r="J921" s="159" t="s">
        <v>248</v>
      </c>
      <c r="K921" s="160">
        <v>24268</v>
      </c>
      <c r="L921" s="141"/>
      <c r="M921" s="161">
        <v>553.32000000000005</v>
      </c>
      <c r="N921" s="161">
        <v>0</v>
      </c>
      <c r="O921" s="161">
        <v>0</v>
      </c>
      <c r="P921" s="161">
        <v>0</v>
      </c>
      <c r="Q921" s="104">
        <f t="shared" si="52"/>
        <v>553.32000000000005</v>
      </c>
      <c r="R921" s="104"/>
      <c r="S921" s="66">
        <f t="shared" si="53"/>
        <v>63.133812000000013</v>
      </c>
    </row>
    <row r="922" spans="1:19" ht="15" x14ac:dyDescent="0.25">
      <c r="A922" s="141" t="s">
        <v>148</v>
      </c>
      <c r="B922" s="141" t="s">
        <v>335</v>
      </c>
      <c r="C922" s="141" t="s">
        <v>217</v>
      </c>
      <c r="D922" s="142" t="s">
        <v>242</v>
      </c>
      <c r="E922" s="158" t="s">
        <v>381</v>
      </c>
      <c r="F922" s="142" t="s">
        <v>142</v>
      </c>
      <c r="G922" s="141">
        <v>104000</v>
      </c>
      <c r="H922" s="141" t="s">
        <v>110</v>
      </c>
      <c r="I922" s="141" t="s">
        <v>276</v>
      </c>
      <c r="J922" s="159" t="s">
        <v>248</v>
      </c>
      <c r="K922" s="160">
        <v>24269</v>
      </c>
      <c r="L922" s="141"/>
      <c r="M922" s="161">
        <v>448.92</v>
      </c>
      <c r="N922" s="161">
        <v>0</v>
      </c>
      <c r="O922" s="161">
        <v>0</v>
      </c>
      <c r="P922" s="161">
        <v>0</v>
      </c>
      <c r="Q922" s="104">
        <f t="shared" si="52"/>
        <v>448.92</v>
      </c>
      <c r="R922" s="104"/>
      <c r="S922" s="66">
        <f t="shared" si="53"/>
        <v>51.221772000000001</v>
      </c>
    </row>
    <row r="923" spans="1:19" ht="15" x14ac:dyDescent="0.25">
      <c r="A923" s="141" t="s">
        <v>148</v>
      </c>
      <c r="B923" s="141" t="s">
        <v>335</v>
      </c>
      <c r="C923" s="141" t="s">
        <v>217</v>
      </c>
      <c r="D923" s="142" t="s">
        <v>242</v>
      </c>
      <c r="E923" s="158" t="s">
        <v>381</v>
      </c>
      <c r="F923" s="142" t="s">
        <v>142</v>
      </c>
      <c r="G923" s="141">
        <v>104000</v>
      </c>
      <c r="H923" s="141" t="s">
        <v>110</v>
      </c>
      <c r="I923" s="141" t="s">
        <v>276</v>
      </c>
      <c r="J923" s="159" t="s">
        <v>248</v>
      </c>
      <c r="K923" s="160">
        <v>24270</v>
      </c>
      <c r="L923" s="141"/>
      <c r="M923" s="161">
        <v>469.8</v>
      </c>
      <c r="N923" s="161">
        <v>0</v>
      </c>
      <c r="O923" s="161">
        <v>0</v>
      </c>
      <c r="P923" s="161">
        <v>0</v>
      </c>
      <c r="Q923" s="104">
        <f t="shared" si="52"/>
        <v>469.8</v>
      </c>
      <c r="R923" s="104"/>
      <c r="S923" s="66">
        <f t="shared" si="53"/>
        <v>53.604180000000007</v>
      </c>
    </row>
    <row r="924" spans="1:19" ht="15" x14ac:dyDescent="0.25">
      <c r="A924" s="141" t="s">
        <v>148</v>
      </c>
      <c r="B924" s="141" t="s">
        <v>335</v>
      </c>
      <c r="C924" s="141" t="s">
        <v>217</v>
      </c>
      <c r="D924" s="142" t="s">
        <v>242</v>
      </c>
      <c r="E924" s="158" t="s">
        <v>381</v>
      </c>
      <c r="F924" s="142" t="s">
        <v>142</v>
      </c>
      <c r="G924" s="141">
        <v>104000</v>
      </c>
      <c r="H924" s="141" t="s">
        <v>110</v>
      </c>
      <c r="I924" s="141" t="s">
        <v>276</v>
      </c>
      <c r="J924" s="159" t="s">
        <v>248</v>
      </c>
      <c r="K924" s="160">
        <v>24271</v>
      </c>
      <c r="L924" s="141"/>
      <c r="M924" s="161">
        <v>1263.23</v>
      </c>
      <c r="N924" s="161">
        <v>0</v>
      </c>
      <c r="O924" s="161">
        <v>0</v>
      </c>
      <c r="P924" s="161">
        <v>0</v>
      </c>
      <c r="Q924" s="104">
        <f t="shared" si="52"/>
        <v>1263.23</v>
      </c>
      <c r="R924" s="104"/>
      <c r="S924" s="66">
        <f t="shared" si="53"/>
        <v>144.13454300000001</v>
      </c>
    </row>
    <row r="925" spans="1:19" ht="15" x14ac:dyDescent="0.25">
      <c r="A925" s="141" t="s">
        <v>148</v>
      </c>
      <c r="B925" s="141" t="s">
        <v>335</v>
      </c>
      <c r="C925" s="141" t="s">
        <v>217</v>
      </c>
      <c r="D925" s="142" t="s">
        <v>242</v>
      </c>
      <c r="E925" s="158" t="s">
        <v>381</v>
      </c>
      <c r="F925" s="142" t="s">
        <v>142</v>
      </c>
      <c r="G925" s="141">
        <v>104000</v>
      </c>
      <c r="H925" s="141" t="s">
        <v>110</v>
      </c>
      <c r="I925" s="141" t="s">
        <v>276</v>
      </c>
      <c r="J925" s="159" t="s">
        <v>248</v>
      </c>
      <c r="K925" s="160">
        <v>24272</v>
      </c>
      <c r="L925" s="141"/>
      <c r="M925" s="161">
        <v>605.52</v>
      </c>
      <c r="N925" s="161">
        <v>0</v>
      </c>
      <c r="O925" s="161">
        <v>0</v>
      </c>
      <c r="P925" s="161">
        <v>0</v>
      </c>
      <c r="Q925" s="104">
        <f t="shared" si="52"/>
        <v>605.52</v>
      </c>
      <c r="R925" s="104"/>
      <c r="S925" s="66">
        <f t="shared" si="53"/>
        <v>69.089832000000001</v>
      </c>
    </row>
    <row r="926" spans="1:19" ht="15" x14ac:dyDescent="0.25">
      <c r="A926" s="141" t="s">
        <v>148</v>
      </c>
      <c r="B926" s="141" t="s">
        <v>335</v>
      </c>
      <c r="C926" s="141" t="s">
        <v>217</v>
      </c>
      <c r="D926" s="142" t="s">
        <v>242</v>
      </c>
      <c r="E926" s="158" t="s">
        <v>381</v>
      </c>
      <c r="F926" s="142" t="s">
        <v>142</v>
      </c>
      <c r="G926" s="141">
        <v>104000</v>
      </c>
      <c r="H926" s="141" t="s">
        <v>110</v>
      </c>
      <c r="I926" s="141" t="s">
        <v>276</v>
      </c>
      <c r="J926" s="159" t="s">
        <v>248</v>
      </c>
      <c r="K926" s="160">
        <v>24273</v>
      </c>
      <c r="L926" s="141"/>
      <c r="M926" s="161">
        <v>623.64</v>
      </c>
      <c r="N926" s="161">
        <v>0</v>
      </c>
      <c r="O926" s="161">
        <v>0</v>
      </c>
      <c r="P926" s="161">
        <v>0</v>
      </c>
      <c r="Q926" s="104">
        <f t="shared" si="52"/>
        <v>623.64</v>
      </c>
      <c r="R926" s="104"/>
      <c r="S926" s="66">
        <f t="shared" si="53"/>
        <v>71.157324000000003</v>
      </c>
    </row>
    <row r="927" spans="1:19" ht="15" x14ac:dyDescent="0.25">
      <c r="A927" s="141" t="s">
        <v>148</v>
      </c>
      <c r="B927" s="141" t="s">
        <v>335</v>
      </c>
      <c r="C927" s="141" t="s">
        <v>217</v>
      </c>
      <c r="D927" s="142" t="s">
        <v>242</v>
      </c>
      <c r="E927" s="158" t="s">
        <v>381</v>
      </c>
      <c r="F927" s="142" t="s">
        <v>142</v>
      </c>
      <c r="G927" s="141">
        <v>104000</v>
      </c>
      <c r="H927" s="141" t="s">
        <v>110</v>
      </c>
      <c r="I927" s="141" t="s">
        <v>276</v>
      </c>
      <c r="J927" s="159" t="s">
        <v>248</v>
      </c>
      <c r="K927" s="160">
        <v>24274</v>
      </c>
      <c r="L927" s="141"/>
      <c r="M927" s="161">
        <v>918.71</v>
      </c>
      <c r="N927" s="161">
        <v>0</v>
      </c>
      <c r="O927" s="161">
        <v>0</v>
      </c>
      <c r="P927" s="161">
        <v>0</v>
      </c>
      <c r="Q927" s="104">
        <f t="shared" si="52"/>
        <v>918.71</v>
      </c>
      <c r="R927" s="104"/>
      <c r="S927" s="66">
        <f t="shared" si="53"/>
        <v>104.82481100000001</v>
      </c>
    </row>
    <row r="928" spans="1:19" ht="15" x14ac:dyDescent="0.25">
      <c r="A928" s="141" t="s">
        <v>148</v>
      </c>
      <c r="B928" s="141" t="s">
        <v>335</v>
      </c>
      <c r="C928" s="141" t="s">
        <v>217</v>
      </c>
      <c r="D928" s="142" t="s">
        <v>242</v>
      </c>
      <c r="E928" s="158" t="s">
        <v>381</v>
      </c>
      <c r="F928" s="142" t="s">
        <v>142</v>
      </c>
      <c r="G928" s="141">
        <v>104000</v>
      </c>
      <c r="H928" s="141" t="s">
        <v>110</v>
      </c>
      <c r="I928" s="141" t="s">
        <v>276</v>
      </c>
      <c r="J928" s="159" t="s">
        <v>248</v>
      </c>
      <c r="K928" s="160">
        <v>24277</v>
      </c>
      <c r="L928" s="141"/>
      <c r="M928" s="161">
        <v>396.72</v>
      </c>
      <c r="N928" s="161">
        <v>0</v>
      </c>
      <c r="O928" s="161">
        <v>0</v>
      </c>
      <c r="P928" s="161">
        <v>0</v>
      </c>
      <c r="Q928" s="104">
        <f t="shared" si="52"/>
        <v>396.72</v>
      </c>
      <c r="R928" s="104"/>
      <c r="S928" s="66">
        <f t="shared" si="53"/>
        <v>45.265752000000006</v>
      </c>
    </row>
    <row r="929" spans="1:19" ht="15" x14ac:dyDescent="0.25">
      <c r="A929" s="141" t="s">
        <v>148</v>
      </c>
      <c r="B929" s="141" t="s">
        <v>335</v>
      </c>
      <c r="C929" s="141" t="s">
        <v>217</v>
      </c>
      <c r="D929" s="142" t="s">
        <v>242</v>
      </c>
      <c r="E929" s="158" t="s">
        <v>381</v>
      </c>
      <c r="F929" s="142" t="s">
        <v>142</v>
      </c>
      <c r="G929" s="141">
        <v>105019</v>
      </c>
      <c r="H929" s="141" t="s">
        <v>111</v>
      </c>
      <c r="I929" s="141" t="s">
        <v>276</v>
      </c>
      <c r="J929" s="159" t="s">
        <v>248</v>
      </c>
      <c r="K929" s="160">
        <v>24201</v>
      </c>
      <c r="L929" s="141"/>
      <c r="M929" s="161">
        <v>274.97000000000003</v>
      </c>
      <c r="N929" s="161">
        <v>0</v>
      </c>
      <c r="O929" s="161">
        <v>0</v>
      </c>
      <c r="P929" s="161">
        <v>0</v>
      </c>
      <c r="Q929" s="104">
        <f t="shared" si="52"/>
        <v>274.97000000000003</v>
      </c>
      <c r="R929" s="104"/>
      <c r="S929" s="66">
        <f t="shared" si="53"/>
        <v>31.374077000000003</v>
      </c>
    </row>
    <row r="930" spans="1:19" ht="15" x14ac:dyDescent="0.25">
      <c r="A930" s="141" t="s">
        <v>148</v>
      </c>
      <c r="B930" s="141" t="s">
        <v>335</v>
      </c>
      <c r="C930" s="141" t="s">
        <v>217</v>
      </c>
      <c r="D930" s="142" t="s">
        <v>242</v>
      </c>
      <c r="E930" s="158" t="s">
        <v>381</v>
      </c>
      <c r="F930" s="142" t="s">
        <v>142</v>
      </c>
      <c r="G930" s="141">
        <v>105019</v>
      </c>
      <c r="H930" s="141" t="s">
        <v>111</v>
      </c>
      <c r="I930" s="141" t="s">
        <v>276</v>
      </c>
      <c r="J930" s="159" t="s">
        <v>248</v>
      </c>
      <c r="K930" s="160">
        <v>24203</v>
      </c>
      <c r="L930" s="141"/>
      <c r="M930" s="161">
        <v>304.58999999999997</v>
      </c>
      <c r="N930" s="161">
        <v>0</v>
      </c>
      <c r="O930" s="161">
        <v>0</v>
      </c>
      <c r="P930" s="161">
        <v>0</v>
      </c>
      <c r="Q930" s="104">
        <f t="shared" si="52"/>
        <v>304.58999999999997</v>
      </c>
      <c r="R930" s="104"/>
      <c r="S930" s="66">
        <f t="shared" si="53"/>
        <v>34.753718999999997</v>
      </c>
    </row>
    <row r="931" spans="1:19" ht="15" x14ac:dyDescent="0.25">
      <c r="A931" s="141" t="s">
        <v>148</v>
      </c>
      <c r="B931" s="141" t="s">
        <v>335</v>
      </c>
      <c r="C931" s="141" t="s">
        <v>217</v>
      </c>
      <c r="D931" s="142" t="s">
        <v>242</v>
      </c>
      <c r="E931" s="158" t="s">
        <v>381</v>
      </c>
      <c r="F931" s="142" t="s">
        <v>142</v>
      </c>
      <c r="G931" s="141">
        <v>105019</v>
      </c>
      <c r="H931" s="141" t="s">
        <v>111</v>
      </c>
      <c r="I931" s="141" t="s">
        <v>276</v>
      </c>
      <c r="J931" s="159" t="s">
        <v>248</v>
      </c>
      <c r="K931" s="160">
        <v>24206</v>
      </c>
      <c r="L931" s="141"/>
      <c r="M931" s="161">
        <v>232.68</v>
      </c>
      <c r="N931" s="161">
        <v>0</v>
      </c>
      <c r="O931" s="161">
        <v>0</v>
      </c>
      <c r="P931" s="161">
        <v>0</v>
      </c>
      <c r="Q931" s="104">
        <f t="shared" si="52"/>
        <v>232.68</v>
      </c>
      <c r="R931" s="104"/>
      <c r="S931" s="66">
        <f t="shared" si="53"/>
        <v>26.548788000000002</v>
      </c>
    </row>
    <row r="932" spans="1:19" ht="15" x14ac:dyDescent="0.25">
      <c r="A932" s="141" t="s">
        <v>148</v>
      </c>
      <c r="B932" s="141" t="s">
        <v>335</v>
      </c>
      <c r="C932" s="141" t="s">
        <v>217</v>
      </c>
      <c r="D932" s="142" t="s">
        <v>242</v>
      </c>
      <c r="E932" s="158" t="s">
        <v>381</v>
      </c>
      <c r="F932" s="142" t="s">
        <v>142</v>
      </c>
      <c r="G932" s="141">
        <v>105019</v>
      </c>
      <c r="H932" s="141" t="s">
        <v>111</v>
      </c>
      <c r="I932" s="141" t="s">
        <v>276</v>
      </c>
      <c r="J932" s="159" t="s">
        <v>248</v>
      </c>
      <c r="K932" s="160">
        <v>24207</v>
      </c>
      <c r="L932" s="141"/>
      <c r="M932" s="161">
        <v>207.26</v>
      </c>
      <c r="N932" s="161">
        <v>0</v>
      </c>
      <c r="O932" s="161">
        <v>0</v>
      </c>
      <c r="P932" s="161">
        <v>0</v>
      </c>
      <c r="Q932" s="104">
        <f t="shared" si="52"/>
        <v>207.26</v>
      </c>
      <c r="R932" s="104"/>
      <c r="S932" s="66">
        <f t="shared" si="53"/>
        <v>23.648365999999999</v>
      </c>
    </row>
    <row r="933" spans="1:19" ht="15" x14ac:dyDescent="0.25">
      <c r="A933" s="141" t="s">
        <v>148</v>
      </c>
      <c r="B933" s="141" t="s">
        <v>335</v>
      </c>
      <c r="C933" s="141" t="s">
        <v>217</v>
      </c>
      <c r="D933" s="142" t="s">
        <v>242</v>
      </c>
      <c r="E933" s="158" t="s">
        <v>381</v>
      </c>
      <c r="F933" s="142" t="s">
        <v>142</v>
      </c>
      <c r="G933" s="141">
        <v>105019</v>
      </c>
      <c r="H933" s="141" t="s">
        <v>111</v>
      </c>
      <c r="I933" s="141" t="s">
        <v>276</v>
      </c>
      <c r="J933" s="159" t="s">
        <v>248</v>
      </c>
      <c r="K933" s="160">
        <v>24209</v>
      </c>
      <c r="L933" s="141"/>
      <c r="M933" s="161">
        <v>190.37</v>
      </c>
      <c r="N933" s="161">
        <v>0</v>
      </c>
      <c r="O933" s="161">
        <v>0</v>
      </c>
      <c r="P933" s="161">
        <v>0</v>
      </c>
      <c r="Q933" s="104">
        <f t="shared" si="52"/>
        <v>190.37</v>
      </c>
      <c r="R933" s="104"/>
      <c r="S933" s="66">
        <f t="shared" si="53"/>
        <v>21.721217000000003</v>
      </c>
    </row>
    <row r="934" spans="1:19" ht="15" x14ac:dyDescent="0.25">
      <c r="A934" s="141" t="s">
        <v>148</v>
      </c>
      <c r="B934" s="141" t="s">
        <v>335</v>
      </c>
      <c r="C934" s="141" t="s">
        <v>217</v>
      </c>
      <c r="D934" s="142" t="s">
        <v>242</v>
      </c>
      <c r="E934" s="158" t="s">
        <v>381</v>
      </c>
      <c r="F934" s="142" t="s">
        <v>142</v>
      </c>
      <c r="G934" s="141">
        <v>105019</v>
      </c>
      <c r="H934" s="141" t="s">
        <v>111</v>
      </c>
      <c r="I934" s="141" t="s">
        <v>276</v>
      </c>
      <c r="J934" s="159" t="s">
        <v>248</v>
      </c>
      <c r="K934" s="160">
        <v>24210</v>
      </c>
      <c r="L934" s="141"/>
      <c r="M934" s="161">
        <v>296.13</v>
      </c>
      <c r="N934" s="161">
        <v>0</v>
      </c>
      <c r="O934" s="161">
        <v>0</v>
      </c>
      <c r="P934" s="161">
        <v>0</v>
      </c>
      <c r="Q934" s="104">
        <f t="shared" si="52"/>
        <v>296.13</v>
      </c>
      <c r="R934" s="104"/>
      <c r="S934" s="66">
        <f t="shared" si="53"/>
        <v>33.788432999999998</v>
      </c>
    </row>
    <row r="935" spans="1:19" ht="15" x14ac:dyDescent="0.25">
      <c r="A935" s="141" t="s">
        <v>148</v>
      </c>
      <c r="B935" s="141" t="s">
        <v>335</v>
      </c>
      <c r="C935" s="141" t="s">
        <v>217</v>
      </c>
      <c r="D935" s="142" t="s">
        <v>242</v>
      </c>
      <c r="E935" s="158" t="s">
        <v>381</v>
      </c>
      <c r="F935" s="142" t="s">
        <v>142</v>
      </c>
      <c r="G935" s="141">
        <v>105019</v>
      </c>
      <c r="H935" s="141" t="s">
        <v>111</v>
      </c>
      <c r="I935" s="141" t="s">
        <v>276</v>
      </c>
      <c r="J935" s="159" t="s">
        <v>248</v>
      </c>
      <c r="K935" s="160">
        <v>24212</v>
      </c>
      <c r="L935" s="141"/>
      <c r="M935" s="161">
        <v>93.08</v>
      </c>
      <c r="N935" s="161">
        <v>0</v>
      </c>
      <c r="O935" s="161">
        <v>0</v>
      </c>
      <c r="P935" s="161">
        <v>0</v>
      </c>
      <c r="Q935" s="104">
        <f t="shared" si="52"/>
        <v>93.08</v>
      </c>
      <c r="R935" s="104"/>
      <c r="S935" s="66">
        <f t="shared" si="53"/>
        <v>10.620428</v>
      </c>
    </row>
    <row r="936" spans="1:19" ht="15" x14ac:dyDescent="0.25">
      <c r="A936" s="141" t="s">
        <v>148</v>
      </c>
      <c r="B936" s="141" t="s">
        <v>335</v>
      </c>
      <c r="C936" s="141" t="s">
        <v>217</v>
      </c>
      <c r="D936" s="142" t="s">
        <v>242</v>
      </c>
      <c r="E936" s="158" t="s">
        <v>381</v>
      </c>
      <c r="F936" s="142" t="s">
        <v>142</v>
      </c>
      <c r="G936" s="141">
        <v>105019</v>
      </c>
      <c r="H936" s="141" t="s">
        <v>111</v>
      </c>
      <c r="I936" s="141" t="s">
        <v>276</v>
      </c>
      <c r="J936" s="159" t="s">
        <v>248</v>
      </c>
      <c r="K936" s="160">
        <v>24213</v>
      </c>
      <c r="L936" s="141"/>
      <c r="M936" s="161">
        <v>274.97000000000003</v>
      </c>
      <c r="N936" s="161">
        <v>0</v>
      </c>
      <c r="O936" s="161">
        <v>0</v>
      </c>
      <c r="P936" s="161">
        <v>0</v>
      </c>
      <c r="Q936" s="104">
        <f t="shared" si="52"/>
        <v>274.97000000000003</v>
      </c>
      <c r="R936" s="104"/>
      <c r="S936" s="66">
        <f t="shared" si="53"/>
        <v>31.374077000000003</v>
      </c>
    </row>
    <row r="937" spans="1:19" ht="15" x14ac:dyDescent="0.25">
      <c r="A937" s="141" t="s">
        <v>148</v>
      </c>
      <c r="B937" s="141" t="s">
        <v>335</v>
      </c>
      <c r="C937" s="141" t="s">
        <v>217</v>
      </c>
      <c r="D937" s="142" t="s">
        <v>242</v>
      </c>
      <c r="E937" s="158" t="s">
        <v>381</v>
      </c>
      <c r="F937" s="142" t="s">
        <v>142</v>
      </c>
      <c r="G937" s="141">
        <v>105019</v>
      </c>
      <c r="H937" s="141" t="s">
        <v>111</v>
      </c>
      <c r="I937" s="141" t="s">
        <v>276</v>
      </c>
      <c r="J937" s="159" t="s">
        <v>248</v>
      </c>
      <c r="K937" s="160">
        <v>24214</v>
      </c>
      <c r="L937" s="141"/>
      <c r="M937" s="161">
        <v>224.21</v>
      </c>
      <c r="N937" s="161">
        <v>0</v>
      </c>
      <c r="O937" s="161">
        <v>0</v>
      </c>
      <c r="P937" s="161">
        <v>0</v>
      </c>
      <c r="Q937" s="104">
        <f t="shared" si="52"/>
        <v>224.21</v>
      </c>
      <c r="R937" s="104"/>
      <c r="S937" s="66">
        <f t="shared" si="53"/>
        <v>25.582361000000002</v>
      </c>
    </row>
    <row r="938" spans="1:19" ht="15" x14ac:dyDescent="0.25">
      <c r="A938" s="141" t="s">
        <v>148</v>
      </c>
      <c r="B938" s="141" t="s">
        <v>335</v>
      </c>
      <c r="C938" s="141" t="s">
        <v>217</v>
      </c>
      <c r="D938" s="142" t="s">
        <v>242</v>
      </c>
      <c r="E938" s="158" t="s">
        <v>381</v>
      </c>
      <c r="F938" s="142" t="s">
        <v>142</v>
      </c>
      <c r="G938" s="141">
        <v>105019</v>
      </c>
      <c r="H938" s="141" t="s">
        <v>111</v>
      </c>
      <c r="I938" s="141" t="s">
        <v>276</v>
      </c>
      <c r="J938" s="159" t="s">
        <v>248</v>
      </c>
      <c r="K938" s="160">
        <v>24220</v>
      </c>
      <c r="L938" s="141"/>
      <c r="M938" s="161">
        <v>190.37</v>
      </c>
      <c r="N938" s="161">
        <v>0</v>
      </c>
      <c r="O938" s="161">
        <v>0</v>
      </c>
      <c r="P938" s="161">
        <v>0</v>
      </c>
      <c r="Q938" s="104">
        <f t="shared" si="52"/>
        <v>190.37</v>
      </c>
      <c r="R938" s="104"/>
      <c r="S938" s="66">
        <f t="shared" si="53"/>
        <v>21.721217000000003</v>
      </c>
    </row>
    <row r="939" spans="1:19" ht="15" x14ac:dyDescent="0.25">
      <c r="A939" s="141" t="s">
        <v>148</v>
      </c>
      <c r="B939" s="141" t="s">
        <v>335</v>
      </c>
      <c r="C939" s="141" t="s">
        <v>217</v>
      </c>
      <c r="D939" s="142" t="s">
        <v>242</v>
      </c>
      <c r="E939" s="158" t="s">
        <v>381</v>
      </c>
      <c r="F939" s="142" t="s">
        <v>142</v>
      </c>
      <c r="G939" s="141">
        <v>105019</v>
      </c>
      <c r="H939" s="141" t="s">
        <v>111</v>
      </c>
      <c r="I939" s="141" t="s">
        <v>276</v>
      </c>
      <c r="J939" s="159" t="s">
        <v>248</v>
      </c>
      <c r="K939" s="160">
        <v>24221</v>
      </c>
      <c r="L939" s="141"/>
      <c r="M939" s="161">
        <v>232.68</v>
      </c>
      <c r="N939" s="161">
        <v>0</v>
      </c>
      <c r="O939" s="161">
        <v>0</v>
      </c>
      <c r="P939" s="161">
        <v>0</v>
      </c>
      <c r="Q939" s="104">
        <f t="shared" si="52"/>
        <v>232.68</v>
      </c>
      <c r="R939" s="104"/>
      <c r="S939" s="66">
        <f t="shared" si="53"/>
        <v>26.548788000000002</v>
      </c>
    </row>
    <row r="940" spans="1:19" ht="15" x14ac:dyDescent="0.25">
      <c r="A940" s="141" t="s">
        <v>148</v>
      </c>
      <c r="B940" s="141" t="s">
        <v>335</v>
      </c>
      <c r="C940" s="141" t="s">
        <v>217</v>
      </c>
      <c r="D940" s="142" t="s">
        <v>242</v>
      </c>
      <c r="E940" s="158" t="s">
        <v>381</v>
      </c>
      <c r="F940" s="142" t="s">
        <v>142</v>
      </c>
      <c r="G940" s="141">
        <v>105019</v>
      </c>
      <c r="H940" s="141" t="s">
        <v>111</v>
      </c>
      <c r="I940" s="141" t="s">
        <v>276</v>
      </c>
      <c r="J940" s="159" t="s">
        <v>248</v>
      </c>
      <c r="K940" s="160">
        <v>24222</v>
      </c>
      <c r="L940" s="141"/>
      <c r="M940" s="161">
        <v>444.19</v>
      </c>
      <c r="N940" s="161">
        <v>0</v>
      </c>
      <c r="O940" s="161">
        <v>0</v>
      </c>
      <c r="P940" s="161">
        <v>0</v>
      </c>
      <c r="Q940" s="104">
        <f t="shared" si="52"/>
        <v>444.19</v>
      </c>
      <c r="R940" s="104"/>
      <c r="S940" s="66">
        <f t="shared" si="53"/>
        <v>50.682079000000009</v>
      </c>
    </row>
    <row r="941" spans="1:19" ht="15" x14ac:dyDescent="0.25">
      <c r="A941" s="141" t="s">
        <v>148</v>
      </c>
      <c r="B941" s="141" t="s">
        <v>335</v>
      </c>
      <c r="C941" s="141" t="s">
        <v>217</v>
      </c>
      <c r="D941" s="142" t="s">
        <v>242</v>
      </c>
      <c r="E941" s="158" t="s">
        <v>381</v>
      </c>
      <c r="F941" s="142" t="s">
        <v>142</v>
      </c>
      <c r="G941" s="141">
        <v>105019</v>
      </c>
      <c r="H941" s="141" t="s">
        <v>111</v>
      </c>
      <c r="I941" s="141" t="s">
        <v>276</v>
      </c>
      <c r="J941" s="159" t="s">
        <v>248</v>
      </c>
      <c r="K941" s="160">
        <v>24264</v>
      </c>
      <c r="L941" s="141"/>
      <c r="M941" s="161">
        <v>230.64</v>
      </c>
      <c r="N941" s="161">
        <v>0</v>
      </c>
      <c r="O941" s="161">
        <v>0</v>
      </c>
      <c r="P941" s="161">
        <v>0</v>
      </c>
      <c r="Q941" s="104">
        <f t="shared" si="52"/>
        <v>230.64</v>
      </c>
      <c r="R941" s="104"/>
      <c r="S941" s="66">
        <f t="shared" si="53"/>
        <v>26.316023999999999</v>
      </c>
    </row>
    <row r="942" spans="1:19" ht="15" x14ac:dyDescent="0.25">
      <c r="A942" s="141" t="s">
        <v>148</v>
      </c>
      <c r="B942" s="141" t="s">
        <v>335</v>
      </c>
      <c r="C942" s="141" t="s">
        <v>217</v>
      </c>
      <c r="D942" s="142" t="s">
        <v>242</v>
      </c>
      <c r="E942" s="158" t="s">
        <v>381</v>
      </c>
      <c r="F942" s="142" t="s">
        <v>142</v>
      </c>
      <c r="G942" s="141">
        <v>105019</v>
      </c>
      <c r="H942" s="141" t="s">
        <v>111</v>
      </c>
      <c r="I942" s="141" t="s">
        <v>276</v>
      </c>
      <c r="J942" s="159" t="s">
        <v>248</v>
      </c>
      <c r="K942" s="160">
        <v>24265</v>
      </c>
      <c r="L942" s="141"/>
      <c r="M942" s="161">
        <v>380.74</v>
      </c>
      <c r="N942" s="161">
        <v>0</v>
      </c>
      <c r="O942" s="161">
        <v>0</v>
      </c>
      <c r="P942" s="161">
        <v>0</v>
      </c>
      <c r="Q942" s="104">
        <f t="shared" si="52"/>
        <v>380.74</v>
      </c>
      <c r="R942" s="104"/>
      <c r="S942" s="66">
        <f t="shared" si="53"/>
        <v>43.442434000000006</v>
      </c>
    </row>
    <row r="943" spans="1:19" ht="15" x14ac:dyDescent="0.25">
      <c r="A943" s="141" t="s">
        <v>148</v>
      </c>
      <c r="B943" s="141" t="s">
        <v>335</v>
      </c>
      <c r="C943" s="141" t="s">
        <v>217</v>
      </c>
      <c r="D943" s="142" t="s">
        <v>242</v>
      </c>
      <c r="E943" s="158" t="s">
        <v>381</v>
      </c>
      <c r="F943" s="142" t="s">
        <v>142</v>
      </c>
      <c r="G943" s="141">
        <v>105019</v>
      </c>
      <c r="H943" s="141" t="s">
        <v>111</v>
      </c>
      <c r="I943" s="141" t="s">
        <v>276</v>
      </c>
      <c r="J943" s="159" t="s">
        <v>248</v>
      </c>
      <c r="K943" s="160">
        <v>24266</v>
      </c>
      <c r="L943" s="141"/>
      <c r="M943" s="161">
        <v>148.06</v>
      </c>
      <c r="N943" s="161">
        <v>0</v>
      </c>
      <c r="O943" s="161">
        <v>0</v>
      </c>
      <c r="P943" s="161">
        <v>0</v>
      </c>
      <c r="Q943" s="104">
        <f t="shared" si="52"/>
        <v>148.06</v>
      </c>
      <c r="R943" s="104"/>
      <c r="S943" s="66">
        <f t="shared" si="53"/>
        <v>16.893646</v>
      </c>
    </row>
    <row r="944" spans="1:19" ht="15" x14ac:dyDescent="0.25">
      <c r="A944" s="141" t="s">
        <v>148</v>
      </c>
      <c r="B944" s="141" t="s">
        <v>335</v>
      </c>
      <c r="C944" s="141" t="s">
        <v>217</v>
      </c>
      <c r="D944" s="142" t="s">
        <v>242</v>
      </c>
      <c r="E944" s="158" t="s">
        <v>381</v>
      </c>
      <c r="F944" s="142" t="s">
        <v>142</v>
      </c>
      <c r="G944" s="141">
        <v>105019</v>
      </c>
      <c r="H944" s="141" t="s">
        <v>111</v>
      </c>
      <c r="I944" s="141" t="s">
        <v>276</v>
      </c>
      <c r="J944" s="159" t="s">
        <v>248</v>
      </c>
      <c r="K944" s="160">
        <v>24267</v>
      </c>
      <c r="L944" s="141"/>
      <c r="M944" s="161">
        <v>148.06</v>
      </c>
      <c r="N944" s="161">
        <v>0</v>
      </c>
      <c r="O944" s="161">
        <v>0</v>
      </c>
      <c r="P944" s="161">
        <v>0</v>
      </c>
      <c r="Q944" s="104">
        <f t="shared" si="52"/>
        <v>148.06</v>
      </c>
      <c r="R944" s="104"/>
      <c r="S944" s="66">
        <f t="shared" si="53"/>
        <v>16.893646</v>
      </c>
    </row>
    <row r="945" spans="1:19" ht="15" x14ac:dyDescent="0.25">
      <c r="A945" s="141" t="s">
        <v>148</v>
      </c>
      <c r="B945" s="141" t="s">
        <v>335</v>
      </c>
      <c r="C945" s="141" t="s">
        <v>217</v>
      </c>
      <c r="D945" s="142" t="s">
        <v>242</v>
      </c>
      <c r="E945" s="158" t="s">
        <v>381</v>
      </c>
      <c r="F945" s="142" t="s">
        <v>142</v>
      </c>
      <c r="G945" s="141">
        <v>105019</v>
      </c>
      <c r="H945" s="141" t="s">
        <v>111</v>
      </c>
      <c r="I945" s="141" t="s">
        <v>276</v>
      </c>
      <c r="J945" s="159" t="s">
        <v>248</v>
      </c>
      <c r="K945" s="160">
        <v>24268</v>
      </c>
      <c r="L945" s="141"/>
      <c r="M945" s="161">
        <v>224.21</v>
      </c>
      <c r="N945" s="161">
        <v>0</v>
      </c>
      <c r="O945" s="161">
        <v>0</v>
      </c>
      <c r="P945" s="161">
        <v>0</v>
      </c>
      <c r="Q945" s="104">
        <f t="shared" si="52"/>
        <v>224.21</v>
      </c>
      <c r="R945" s="104"/>
      <c r="S945" s="66">
        <f t="shared" si="53"/>
        <v>25.582361000000002</v>
      </c>
    </row>
    <row r="946" spans="1:19" ht="15" x14ac:dyDescent="0.25">
      <c r="A946" s="141" t="s">
        <v>148</v>
      </c>
      <c r="B946" s="141" t="s">
        <v>335</v>
      </c>
      <c r="C946" s="141" t="s">
        <v>217</v>
      </c>
      <c r="D946" s="142" t="s">
        <v>242</v>
      </c>
      <c r="E946" s="158" t="s">
        <v>381</v>
      </c>
      <c r="F946" s="142" t="s">
        <v>142</v>
      </c>
      <c r="G946" s="141">
        <v>105019</v>
      </c>
      <c r="H946" s="141" t="s">
        <v>111</v>
      </c>
      <c r="I946" s="141" t="s">
        <v>276</v>
      </c>
      <c r="J946" s="159" t="s">
        <v>248</v>
      </c>
      <c r="K946" s="160">
        <v>24269</v>
      </c>
      <c r="L946" s="141"/>
      <c r="M946" s="161">
        <v>181.91</v>
      </c>
      <c r="N946" s="161">
        <v>0</v>
      </c>
      <c r="O946" s="161">
        <v>0</v>
      </c>
      <c r="P946" s="161">
        <v>0</v>
      </c>
      <c r="Q946" s="104">
        <f t="shared" si="52"/>
        <v>181.91</v>
      </c>
      <c r="R946" s="104"/>
      <c r="S946" s="66">
        <f t="shared" si="53"/>
        <v>20.755931</v>
      </c>
    </row>
    <row r="947" spans="1:19" ht="15" x14ac:dyDescent="0.25">
      <c r="A947" s="141" t="s">
        <v>148</v>
      </c>
      <c r="B947" s="141" t="s">
        <v>335</v>
      </c>
      <c r="C947" s="141" t="s">
        <v>217</v>
      </c>
      <c r="D947" s="142" t="s">
        <v>242</v>
      </c>
      <c r="E947" s="158" t="s">
        <v>381</v>
      </c>
      <c r="F947" s="142" t="s">
        <v>142</v>
      </c>
      <c r="G947" s="141">
        <v>105019</v>
      </c>
      <c r="H947" s="141" t="s">
        <v>111</v>
      </c>
      <c r="I947" s="141" t="s">
        <v>276</v>
      </c>
      <c r="J947" s="159" t="s">
        <v>248</v>
      </c>
      <c r="K947" s="160">
        <v>24270</v>
      </c>
      <c r="L947" s="141"/>
      <c r="M947" s="161">
        <v>190.37</v>
      </c>
      <c r="N947" s="161">
        <v>0</v>
      </c>
      <c r="O947" s="161">
        <v>0</v>
      </c>
      <c r="P947" s="161">
        <v>0</v>
      </c>
      <c r="Q947" s="104">
        <f t="shared" si="52"/>
        <v>190.37</v>
      </c>
      <c r="R947" s="104"/>
      <c r="S947" s="66">
        <f t="shared" si="53"/>
        <v>21.721217000000003</v>
      </c>
    </row>
    <row r="948" spans="1:19" ht="15" x14ac:dyDescent="0.25">
      <c r="A948" s="141" t="s">
        <v>148</v>
      </c>
      <c r="B948" s="141" t="s">
        <v>335</v>
      </c>
      <c r="C948" s="141" t="s">
        <v>217</v>
      </c>
      <c r="D948" s="142" t="s">
        <v>242</v>
      </c>
      <c r="E948" s="158" t="s">
        <v>381</v>
      </c>
      <c r="F948" s="142" t="s">
        <v>142</v>
      </c>
      <c r="G948" s="141">
        <v>105019</v>
      </c>
      <c r="H948" s="141" t="s">
        <v>111</v>
      </c>
      <c r="I948" s="141" t="s">
        <v>276</v>
      </c>
      <c r="J948" s="159" t="s">
        <v>248</v>
      </c>
      <c r="K948" s="160">
        <v>24271</v>
      </c>
      <c r="L948" s="141"/>
      <c r="M948" s="161">
        <v>511.88</v>
      </c>
      <c r="N948" s="161">
        <v>0</v>
      </c>
      <c r="O948" s="161">
        <v>0</v>
      </c>
      <c r="P948" s="161">
        <v>0</v>
      </c>
      <c r="Q948" s="104">
        <f t="shared" si="52"/>
        <v>511.88</v>
      </c>
      <c r="R948" s="104"/>
      <c r="S948" s="66">
        <f t="shared" si="53"/>
        <v>58.405508000000005</v>
      </c>
    </row>
    <row r="949" spans="1:19" ht="15" x14ac:dyDescent="0.25">
      <c r="A949" s="141" t="s">
        <v>148</v>
      </c>
      <c r="B949" s="141" t="s">
        <v>335</v>
      </c>
      <c r="C949" s="141" t="s">
        <v>217</v>
      </c>
      <c r="D949" s="142" t="s">
        <v>242</v>
      </c>
      <c r="E949" s="158" t="s">
        <v>381</v>
      </c>
      <c r="F949" s="142" t="s">
        <v>142</v>
      </c>
      <c r="G949" s="141">
        <v>105019</v>
      </c>
      <c r="H949" s="141" t="s">
        <v>111</v>
      </c>
      <c r="I949" s="141" t="s">
        <v>276</v>
      </c>
      <c r="J949" s="159" t="s">
        <v>248</v>
      </c>
      <c r="K949" s="160">
        <v>24272</v>
      </c>
      <c r="L949" s="141"/>
      <c r="M949" s="161">
        <v>245.36</v>
      </c>
      <c r="N949" s="161">
        <v>0</v>
      </c>
      <c r="O949" s="161">
        <v>0</v>
      </c>
      <c r="P949" s="161">
        <v>0</v>
      </c>
      <c r="Q949" s="104">
        <f t="shared" si="52"/>
        <v>245.36</v>
      </c>
      <c r="R949" s="104"/>
      <c r="S949" s="66">
        <f t="shared" si="53"/>
        <v>27.995576000000003</v>
      </c>
    </row>
    <row r="950" spans="1:19" ht="15" x14ac:dyDescent="0.25">
      <c r="A950" s="141" t="s">
        <v>148</v>
      </c>
      <c r="B950" s="141" t="s">
        <v>335</v>
      </c>
      <c r="C950" s="141" t="s">
        <v>217</v>
      </c>
      <c r="D950" s="142" t="s">
        <v>242</v>
      </c>
      <c r="E950" s="158" t="s">
        <v>381</v>
      </c>
      <c r="F950" s="142" t="s">
        <v>142</v>
      </c>
      <c r="G950" s="141">
        <v>105019</v>
      </c>
      <c r="H950" s="141" t="s">
        <v>111</v>
      </c>
      <c r="I950" s="141" t="s">
        <v>276</v>
      </c>
      <c r="J950" s="159" t="s">
        <v>248</v>
      </c>
      <c r="K950" s="160">
        <v>24273</v>
      </c>
      <c r="L950" s="141"/>
      <c r="M950" s="161">
        <v>252.43</v>
      </c>
      <c r="N950" s="161">
        <v>0</v>
      </c>
      <c r="O950" s="161">
        <v>0</v>
      </c>
      <c r="P950" s="161">
        <v>0</v>
      </c>
      <c r="Q950" s="104">
        <f t="shared" si="52"/>
        <v>252.43</v>
      </c>
      <c r="R950" s="104"/>
      <c r="S950" s="66">
        <f t="shared" si="53"/>
        <v>28.802263000000004</v>
      </c>
    </row>
    <row r="951" spans="1:19" ht="15" x14ac:dyDescent="0.25">
      <c r="A951" s="141" t="s">
        <v>148</v>
      </c>
      <c r="B951" s="141" t="s">
        <v>335</v>
      </c>
      <c r="C951" s="141" t="s">
        <v>217</v>
      </c>
      <c r="D951" s="142" t="s">
        <v>242</v>
      </c>
      <c r="E951" s="158" t="s">
        <v>381</v>
      </c>
      <c r="F951" s="142" t="s">
        <v>142</v>
      </c>
      <c r="G951" s="141">
        <v>105019</v>
      </c>
      <c r="H951" s="141" t="s">
        <v>111</v>
      </c>
      <c r="I951" s="141" t="s">
        <v>276</v>
      </c>
      <c r="J951" s="159" t="s">
        <v>248</v>
      </c>
      <c r="K951" s="160">
        <v>24274</v>
      </c>
      <c r="L951" s="141"/>
      <c r="M951" s="161">
        <v>372.27</v>
      </c>
      <c r="N951" s="161">
        <v>0</v>
      </c>
      <c r="O951" s="161">
        <v>0</v>
      </c>
      <c r="P951" s="161">
        <v>0</v>
      </c>
      <c r="Q951" s="104">
        <f t="shared" si="52"/>
        <v>372.27</v>
      </c>
      <c r="R951" s="104"/>
      <c r="S951" s="66">
        <f t="shared" si="53"/>
        <v>42.476006999999996</v>
      </c>
    </row>
    <row r="952" spans="1:19" ht="15" x14ac:dyDescent="0.25">
      <c r="A952" s="141" t="s">
        <v>148</v>
      </c>
      <c r="B952" s="141" t="s">
        <v>335</v>
      </c>
      <c r="C952" s="141" t="s">
        <v>217</v>
      </c>
      <c r="D952" s="142" t="s">
        <v>242</v>
      </c>
      <c r="E952" s="158" t="s">
        <v>381</v>
      </c>
      <c r="F952" s="142" t="s">
        <v>142</v>
      </c>
      <c r="G952" s="141">
        <v>105019</v>
      </c>
      <c r="H952" s="141" t="s">
        <v>111</v>
      </c>
      <c r="I952" s="141" t="s">
        <v>276</v>
      </c>
      <c r="J952" s="159" t="s">
        <v>248</v>
      </c>
      <c r="K952" s="160">
        <v>24277</v>
      </c>
      <c r="L952" s="141"/>
      <c r="M952" s="161">
        <v>160.76</v>
      </c>
      <c r="N952" s="161">
        <v>0</v>
      </c>
      <c r="O952" s="161">
        <v>0</v>
      </c>
      <c r="P952" s="161">
        <v>0</v>
      </c>
      <c r="Q952" s="104">
        <f t="shared" si="52"/>
        <v>160.76</v>
      </c>
      <c r="R952" s="104"/>
      <c r="S952" s="66">
        <f t="shared" si="53"/>
        <v>18.342715999999999</v>
      </c>
    </row>
    <row r="953" spans="1:19" ht="15" x14ac:dyDescent="0.25">
      <c r="A953" s="141" t="s">
        <v>148</v>
      </c>
      <c r="B953" s="141" t="s">
        <v>335</v>
      </c>
      <c r="C953" s="141" t="s">
        <v>217</v>
      </c>
      <c r="D953" s="142" t="s">
        <v>242</v>
      </c>
      <c r="E953" s="158" t="s">
        <v>381</v>
      </c>
      <c r="F953" s="142" t="s">
        <v>142</v>
      </c>
      <c r="G953" s="141">
        <v>107501</v>
      </c>
      <c r="H953" s="141" t="s">
        <v>152</v>
      </c>
      <c r="I953" s="141" t="s">
        <v>276</v>
      </c>
      <c r="J953" s="159" t="s">
        <v>248</v>
      </c>
      <c r="K953" s="160">
        <v>21112</v>
      </c>
      <c r="L953" s="141"/>
      <c r="M953" s="161">
        <v>73449.88</v>
      </c>
      <c r="N953" s="161">
        <v>0</v>
      </c>
      <c r="O953" s="161">
        <v>0</v>
      </c>
      <c r="P953" s="161">
        <v>0</v>
      </c>
      <c r="Q953" s="104">
        <f t="shared" si="52"/>
        <v>73449.88</v>
      </c>
      <c r="R953" s="104"/>
      <c r="S953" s="66">
        <f t="shared" si="53"/>
        <v>8380.6313080000018</v>
      </c>
    </row>
    <row r="954" spans="1:19" ht="15" x14ac:dyDescent="0.25">
      <c r="A954" s="141" t="s">
        <v>148</v>
      </c>
      <c r="B954" s="141" t="s">
        <v>335</v>
      </c>
      <c r="C954" s="141" t="s">
        <v>217</v>
      </c>
      <c r="D954" s="142" t="s">
        <v>242</v>
      </c>
      <c r="E954" s="158" t="s">
        <v>381</v>
      </c>
      <c r="F954" s="142" t="s">
        <v>142</v>
      </c>
      <c r="G954" s="141">
        <v>107501</v>
      </c>
      <c r="H954" s="141" t="s">
        <v>152</v>
      </c>
      <c r="I954" s="141" t="s">
        <v>276</v>
      </c>
      <c r="J954" s="159" t="s">
        <v>248</v>
      </c>
      <c r="K954" s="160">
        <v>21404</v>
      </c>
      <c r="L954" s="141"/>
      <c r="M954" s="161">
        <v>564.92999999999995</v>
      </c>
      <c r="N954" s="161">
        <v>0</v>
      </c>
      <c r="O954" s="161">
        <v>0</v>
      </c>
      <c r="P954" s="161">
        <v>0</v>
      </c>
      <c r="Q954" s="104">
        <f t="shared" si="52"/>
        <v>564.92999999999995</v>
      </c>
      <c r="R954" s="104"/>
      <c r="S954" s="66">
        <f t="shared" si="53"/>
        <v>64.458512999999996</v>
      </c>
    </row>
    <row r="955" spans="1:19" ht="15" x14ac:dyDescent="0.25">
      <c r="A955" s="141" t="s">
        <v>148</v>
      </c>
      <c r="B955" s="141" t="s">
        <v>335</v>
      </c>
      <c r="C955" s="141" t="s">
        <v>217</v>
      </c>
      <c r="D955" s="142" t="s">
        <v>242</v>
      </c>
      <c r="E955" s="158" t="s">
        <v>381</v>
      </c>
      <c r="F955" s="142" t="s">
        <v>142</v>
      </c>
      <c r="G955" s="141">
        <v>107501</v>
      </c>
      <c r="H955" s="141" t="s">
        <v>152</v>
      </c>
      <c r="I955" s="141" t="s">
        <v>276</v>
      </c>
      <c r="J955" s="159" t="s">
        <v>248</v>
      </c>
      <c r="K955" s="160">
        <v>23203</v>
      </c>
      <c r="L955" s="141"/>
      <c r="M955" s="161">
        <v>24616.11</v>
      </c>
      <c r="N955" s="161">
        <v>0</v>
      </c>
      <c r="O955" s="161">
        <v>0</v>
      </c>
      <c r="P955" s="161">
        <v>0</v>
      </c>
      <c r="Q955" s="104">
        <f t="shared" si="52"/>
        <v>24616.11</v>
      </c>
      <c r="R955" s="104"/>
      <c r="S955" s="66">
        <f t="shared" si="53"/>
        <v>2808.6981510000005</v>
      </c>
    </row>
    <row r="956" spans="1:19" ht="15" x14ac:dyDescent="0.25">
      <c r="A956" s="141" t="s">
        <v>148</v>
      </c>
      <c r="B956" s="141" t="s">
        <v>335</v>
      </c>
      <c r="C956" s="141" t="s">
        <v>217</v>
      </c>
      <c r="D956" s="142" t="s">
        <v>242</v>
      </c>
      <c r="E956" s="158" t="s">
        <v>381</v>
      </c>
      <c r="F956" s="142" t="s">
        <v>142</v>
      </c>
      <c r="G956" s="141">
        <v>107501</v>
      </c>
      <c r="H956" s="141" t="s">
        <v>152</v>
      </c>
      <c r="I956" s="141" t="s">
        <v>276</v>
      </c>
      <c r="J956" s="159" t="s">
        <v>248</v>
      </c>
      <c r="K956" s="160">
        <v>24201</v>
      </c>
      <c r="L956" s="141"/>
      <c r="M956" s="161">
        <v>226850.09</v>
      </c>
      <c r="N956" s="161">
        <v>0</v>
      </c>
      <c r="O956" s="161">
        <v>0</v>
      </c>
      <c r="P956" s="161">
        <v>0</v>
      </c>
      <c r="Q956" s="104">
        <f t="shared" si="52"/>
        <v>226850.09</v>
      </c>
      <c r="R956" s="104"/>
      <c r="S956" s="66">
        <f t="shared" si="53"/>
        <v>25883.595269000001</v>
      </c>
    </row>
    <row r="957" spans="1:19" ht="15" x14ac:dyDescent="0.25">
      <c r="A957" s="141" t="s">
        <v>148</v>
      </c>
      <c r="B957" s="141" t="s">
        <v>335</v>
      </c>
      <c r="C957" s="141" t="s">
        <v>217</v>
      </c>
      <c r="D957" s="142" t="s">
        <v>242</v>
      </c>
      <c r="E957" s="158" t="s">
        <v>381</v>
      </c>
      <c r="F957" s="142" t="s">
        <v>142</v>
      </c>
      <c r="G957" s="141">
        <v>107501</v>
      </c>
      <c r="H957" s="141" t="s">
        <v>152</v>
      </c>
      <c r="I957" s="141" t="s">
        <v>276</v>
      </c>
      <c r="J957" s="159" t="s">
        <v>248</v>
      </c>
      <c r="K957" s="160">
        <v>24203</v>
      </c>
      <c r="L957" s="141"/>
      <c r="M957" s="161">
        <v>251280.11</v>
      </c>
      <c r="N957" s="161">
        <v>0</v>
      </c>
      <c r="O957" s="161">
        <v>0</v>
      </c>
      <c r="P957" s="161">
        <v>0</v>
      </c>
      <c r="Q957" s="104">
        <f t="shared" si="52"/>
        <v>251280.11</v>
      </c>
      <c r="R957" s="104"/>
      <c r="S957" s="66">
        <f t="shared" si="53"/>
        <v>28671.060550999999</v>
      </c>
    </row>
    <row r="958" spans="1:19" ht="15" x14ac:dyDescent="0.25">
      <c r="A958" s="141" t="s">
        <v>148</v>
      </c>
      <c r="B958" s="141" t="s">
        <v>335</v>
      </c>
      <c r="C958" s="141" t="s">
        <v>217</v>
      </c>
      <c r="D958" s="142" t="s">
        <v>242</v>
      </c>
      <c r="E958" s="158" t="s">
        <v>381</v>
      </c>
      <c r="F958" s="142" t="s">
        <v>142</v>
      </c>
      <c r="G958" s="141">
        <v>107501</v>
      </c>
      <c r="H958" s="141" t="s">
        <v>152</v>
      </c>
      <c r="I958" s="141" t="s">
        <v>276</v>
      </c>
      <c r="J958" s="159" t="s">
        <v>248</v>
      </c>
      <c r="K958" s="160">
        <v>24206</v>
      </c>
      <c r="L958" s="141"/>
      <c r="M958" s="161">
        <v>191950.07999999999</v>
      </c>
      <c r="N958" s="161">
        <v>0</v>
      </c>
      <c r="O958" s="161">
        <v>0</v>
      </c>
      <c r="P958" s="161">
        <v>0</v>
      </c>
      <c r="Q958" s="104">
        <f t="shared" si="52"/>
        <v>191950.07999999999</v>
      </c>
      <c r="R958" s="104"/>
      <c r="S958" s="66">
        <f t="shared" si="53"/>
        <v>21901.504127999997</v>
      </c>
    </row>
    <row r="959" spans="1:19" ht="15" x14ac:dyDescent="0.25">
      <c r="A959" s="141" t="s">
        <v>148</v>
      </c>
      <c r="B959" s="141" t="s">
        <v>335</v>
      </c>
      <c r="C959" s="141" t="s">
        <v>217</v>
      </c>
      <c r="D959" s="142" t="s">
        <v>242</v>
      </c>
      <c r="E959" s="158" t="s">
        <v>381</v>
      </c>
      <c r="F959" s="142" t="s">
        <v>142</v>
      </c>
      <c r="G959" s="141">
        <v>107501</v>
      </c>
      <c r="H959" s="141" t="s">
        <v>152</v>
      </c>
      <c r="I959" s="141" t="s">
        <v>276</v>
      </c>
      <c r="J959" s="159" t="s">
        <v>248</v>
      </c>
      <c r="K959" s="160">
        <v>24207</v>
      </c>
      <c r="L959" s="141"/>
      <c r="M959" s="161">
        <v>171611.07</v>
      </c>
      <c r="N959" s="161">
        <v>0</v>
      </c>
      <c r="O959" s="161">
        <v>0</v>
      </c>
      <c r="P959" s="161">
        <v>0</v>
      </c>
      <c r="Q959" s="104">
        <f t="shared" si="52"/>
        <v>171611.07</v>
      </c>
      <c r="R959" s="104"/>
      <c r="S959" s="66">
        <f t="shared" si="53"/>
        <v>19580.823087000001</v>
      </c>
    </row>
    <row r="960" spans="1:19" ht="15" x14ac:dyDescent="0.25">
      <c r="A960" s="141" t="s">
        <v>148</v>
      </c>
      <c r="B960" s="141" t="s">
        <v>335</v>
      </c>
      <c r="C960" s="141" t="s">
        <v>217</v>
      </c>
      <c r="D960" s="142" t="s">
        <v>242</v>
      </c>
      <c r="E960" s="158" t="s">
        <v>381</v>
      </c>
      <c r="F960" s="142" t="s">
        <v>142</v>
      </c>
      <c r="G960" s="141">
        <v>107501</v>
      </c>
      <c r="H960" s="141" t="s">
        <v>152</v>
      </c>
      <c r="I960" s="141" t="s">
        <v>276</v>
      </c>
      <c r="J960" s="159" t="s">
        <v>248</v>
      </c>
      <c r="K960" s="160">
        <v>24209</v>
      </c>
      <c r="L960" s="141"/>
      <c r="M960" s="161">
        <v>157050.06</v>
      </c>
      <c r="N960" s="161">
        <v>0</v>
      </c>
      <c r="O960" s="161">
        <v>0</v>
      </c>
      <c r="P960" s="161">
        <v>0</v>
      </c>
      <c r="Q960" s="104">
        <f t="shared" si="52"/>
        <v>157050.06</v>
      </c>
      <c r="R960" s="104"/>
      <c r="S960" s="66">
        <f t="shared" si="53"/>
        <v>17919.411846000003</v>
      </c>
    </row>
    <row r="961" spans="1:19" ht="15" x14ac:dyDescent="0.25">
      <c r="A961" s="141" t="s">
        <v>148</v>
      </c>
      <c r="B961" s="141" t="s">
        <v>335</v>
      </c>
      <c r="C961" s="141" t="s">
        <v>217</v>
      </c>
      <c r="D961" s="142" t="s">
        <v>242</v>
      </c>
      <c r="E961" s="158" t="s">
        <v>381</v>
      </c>
      <c r="F961" s="142" t="s">
        <v>142</v>
      </c>
      <c r="G961" s="141">
        <v>107501</v>
      </c>
      <c r="H961" s="141" t="s">
        <v>152</v>
      </c>
      <c r="I961" s="141" t="s">
        <v>276</v>
      </c>
      <c r="J961" s="159" t="s">
        <v>248</v>
      </c>
      <c r="K961" s="160">
        <v>24210</v>
      </c>
      <c r="L961" s="141"/>
      <c r="M961" s="161">
        <v>244300.11</v>
      </c>
      <c r="N961" s="161">
        <v>0</v>
      </c>
      <c r="O961" s="161">
        <v>0</v>
      </c>
      <c r="P961" s="161">
        <v>0</v>
      </c>
      <c r="Q961" s="104">
        <f t="shared" si="52"/>
        <v>244300.11</v>
      </c>
      <c r="R961" s="104"/>
      <c r="S961" s="66">
        <f t="shared" si="53"/>
        <v>27874.642550999997</v>
      </c>
    </row>
    <row r="962" spans="1:19" ht="15" x14ac:dyDescent="0.25">
      <c r="A962" s="141" t="s">
        <v>148</v>
      </c>
      <c r="B962" s="141" t="s">
        <v>335</v>
      </c>
      <c r="C962" s="141" t="s">
        <v>217</v>
      </c>
      <c r="D962" s="142" t="s">
        <v>242</v>
      </c>
      <c r="E962" s="158" t="s">
        <v>381</v>
      </c>
      <c r="F962" s="142" t="s">
        <v>142</v>
      </c>
      <c r="G962" s="141">
        <v>107501</v>
      </c>
      <c r="H962" s="141" t="s">
        <v>152</v>
      </c>
      <c r="I962" s="141" t="s">
        <v>276</v>
      </c>
      <c r="J962" s="159" t="s">
        <v>248</v>
      </c>
      <c r="K962" s="160">
        <v>24212</v>
      </c>
      <c r="L962" s="141"/>
      <c r="M962" s="161">
        <v>76780.039999999994</v>
      </c>
      <c r="N962" s="161">
        <v>0</v>
      </c>
      <c r="O962" s="161">
        <v>0</v>
      </c>
      <c r="P962" s="161">
        <v>0</v>
      </c>
      <c r="Q962" s="104">
        <f t="shared" si="52"/>
        <v>76780.039999999994</v>
      </c>
      <c r="R962" s="104"/>
      <c r="S962" s="66">
        <f t="shared" si="53"/>
        <v>8760.6025640000007</v>
      </c>
    </row>
    <row r="963" spans="1:19" ht="15" x14ac:dyDescent="0.25">
      <c r="A963" s="141" t="s">
        <v>148</v>
      </c>
      <c r="B963" s="141" t="s">
        <v>335</v>
      </c>
      <c r="C963" s="141" t="s">
        <v>217</v>
      </c>
      <c r="D963" s="142" t="s">
        <v>242</v>
      </c>
      <c r="E963" s="158" t="s">
        <v>381</v>
      </c>
      <c r="F963" s="142" t="s">
        <v>142</v>
      </c>
      <c r="G963" s="141">
        <v>107501</v>
      </c>
      <c r="H963" s="141" t="s">
        <v>152</v>
      </c>
      <c r="I963" s="141" t="s">
        <v>276</v>
      </c>
      <c r="J963" s="159" t="s">
        <v>248</v>
      </c>
      <c r="K963" s="160">
        <v>24213</v>
      </c>
      <c r="L963" s="141"/>
      <c r="M963" s="161">
        <v>226850.09</v>
      </c>
      <c r="N963" s="161">
        <v>0</v>
      </c>
      <c r="O963" s="161">
        <v>0</v>
      </c>
      <c r="P963" s="161">
        <v>0</v>
      </c>
      <c r="Q963" s="104">
        <f t="shared" si="52"/>
        <v>226850.09</v>
      </c>
      <c r="R963" s="104"/>
      <c r="S963" s="66">
        <f t="shared" si="53"/>
        <v>25883.595269000001</v>
      </c>
    </row>
    <row r="964" spans="1:19" ht="15" x14ac:dyDescent="0.25">
      <c r="A964" s="141" t="s">
        <v>148</v>
      </c>
      <c r="B964" s="141" t="s">
        <v>335</v>
      </c>
      <c r="C964" s="141" t="s">
        <v>217</v>
      </c>
      <c r="D964" s="142" t="s">
        <v>242</v>
      </c>
      <c r="E964" s="158" t="s">
        <v>381</v>
      </c>
      <c r="F964" s="142" t="s">
        <v>142</v>
      </c>
      <c r="G964" s="141">
        <v>107501</v>
      </c>
      <c r="H964" s="141" t="s">
        <v>152</v>
      </c>
      <c r="I964" s="141" t="s">
        <v>276</v>
      </c>
      <c r="J964" s="159" t="s">
        <v>248</v>
      </c>
      <c r="K964" s="160">
        <v>24214</v>
      </c>
      <c r="L964" s="141"/>
      <c r="M964" s="161">
        <v>184970.08</v>
      </c>
      <c r="N964" s="161">
        <v>0</v>
      </c>
      <c r="O964" s="161">
        <v>0</v>
      </c>
      <c r="P964" s="161">
        <v>0</v>
      </c>
      <c r="Q964" s="104">
        <f t="shared" si="52"/>
        <v>184970.08</v>
      </c>
      <c r="R964" s="104"/>
      <c r="S964" s="66">
        <f t="shared" si="53"/>
        <v>21105.086127999999</v>
      </c>
    </row>
    <row r="965" spans="1:19" ht="15" x14ac:dyDescent="0.25">
      <c r="A965" s="141" t="s">
        <v>148</v>
      </c>
      <c r="B965" s="141" t="s">
        <v>335</v>
      </c>
      <c r="C965" s="141" t="s">
        <v>217</v>
      </c>
      <c r="D965" s="142" t="s">
        <v>242</v>
      </c>
      <c r="E965" s="158" t="s">
        <v>381</v>
      </c>
      <c r="F965" s="142" t="s">
        <v>142</v>
      </c>
      <c r="G965" s="141">
        <v>107501</v>
      </c>
      <c r="H965" s="141" t="s">
        <v>152</v>
      </c>
      <c r="I965" s="141" t="s">
        <v>276</v>
      </c>
      <c r="J965" s="159" t="s">
        <v>248</v>
      </c>
      <c r="K965" s="160">
        <v>24220</v>
      </c>
      <c r="L965" s="141"/>
      <c r="M965" s="161">
        <v>157050.06</v>
      </c>
      <c r="N965" s="161">
        <v>0</v>
      </c>
      <c r="O965" s="161">
        <v>0</v>
      </c>
      <c r="P965" s="161">
        <v>0</v>
      </c>
      <c r="Q965" s="104">
        <f t="shared" si="52"/>
        <v>157050.06</v>
      </c>
      <c r="R965" s="104"/>
      <c r="S965" s="66">
        <f t="shared" si="53"/>
        <v>17919.411846000003</v>
      </c>
    </row>
    <row r="966" spans="1:19" ht="15" x14ac:dyDescent="0.25">
      <c r="A966" s="141" t="s">
        <v>148</v>
      </c>
      <c r="B966" s="141" t="s">
        <v>335</v>
      </c>
      <c r="C966" s="141" t="s">
        <v>217</v>
      </c>
      <c r="D966" s="142" t="s">
        <v>242</v>
      </c>
      <c r="E966" s="158" t="s">
        <v>381</v>
      </c>
      <c r="F966" s="142" t="s">
        <v>142</v>
      </c>
      <c r="G966" s="141">
        <v>107501</v>
      </c>
      <c r="H966" s="141" t="s">
        <v>152</v>
      </c>
      <c r="I966" s="141" t="s">
        <v>276</v>
      </c>
      <c r="J966" s="159" t="s">
        <v>248</v>
      </c>
      <c r="K966" s="160">
        <v>24221</v>
      </c>
      <c r="L966" s="141"/>
      <c r="M966" s="161">
        <v>191950.07999999999</v>
      </c>
      <c r="N966" s="161">
        <v>0</v>
      </c>
      <c r="O966" s="161">
        <v>0</v>
      </c>
      <c r="P966" s="161">
        <v>0</v>
      </c>
      <c r="Q966" s="104">
        <f t="shared" si="52"/>
        <v>191950.07999999999</v>
      </c>
      <c r="R966" s="104"/>
      <c r="S966" s="66">
        <f t="shared" si="53"/>
        <v>21901.504127999997</v>
      </c>
    </row>
    <row r="967" spans="1:19" ht="15" x14ac:dyDescent="0.25">
      <c r="A967" s="141" t="s">
        <v>148</v>
      </c>
      <c r="B967" s="141" t="s">
        <v>335</v>
      </c>
      <c r="C967" s="141" t="s">
        <v>217</v>
      </c>
      <c r="D967" s="142" t="s">
        <v>242</v>
      </c>
      <c r="E967" s="158" t="s">
        <v>381</v>
      </c>
      <c r="F967" s="142" t="s">
        <v>142</v>
      </c>
      <c r="G967" s="141">
        <v>107501</v>
      </c>
      <c r="H967" s="141" t="s">
        <v>152</v>
      </c>
      <c r="I967" s="141" t="s">
        <v>276</v>
      </c>
      <c r="J967" s="159" t="s">
        <v>248</v>
      </c>
      <c r="K967" s="160">
        <v>24222</v>
      </c>
      <c r="L967" s="141"/>
      <c r="M967" s="161">
        <v>366450.15</v>
      </c>
      <c r="N967" s="161">
        <v>0</v>
      </c>
      <c r="O967" s="161">
        <v>0</v>
      </c>
      <c r="P967" s="161">
        <v>0</v>
      </c>
      <c r="Q967" s="104">
        <f>M967-P967</f>
        <v>366450.15</v>
      </c>
      <c r="R967" s="104"/>
      <c r="S967" s="66">
        <f t="shared" si="53"/>
        <v>41811.962115000009</v>
      </c>
    </row>
    <row r="968" spans="1:19" ht="15" x14ac:dyDescent="0.25">
      <c r="A968" s="141" t="s">
        <v>148</v>
      </c>
      <c r="B968" s="141" t="s">
        <v>335</v>
      </c>
      <c r="C968" s="141" t="s">
        <v>217</v>
      </c>
      <c r="D968" s="142" t="s">
        <v>242</v>
      </c>
      <c r="E968" s="158" t="s">
        <v>381</v>
      </c>
      <c r="F968" s="142" t="s">
        <v>142</v>
      </c>
      <c r="G968" s="141">
        <v>107501</v>
      </c>
      <c r="H968" s="141" t="s">
        <v>152</v>
      </c>
      <c r="I968" s="141" t="s">
        <v>276</v>
      </c>
      <c r="J968" s="159" t="s">
        <v>248</v>
      </c>
      <c r="K968" s="160">
        <v>24264</v>
      </c>
      <c r="L968" s="141"/>
      <c r="M968" s="161">
        <v>190274.87</v>
      </c>
      <c r="N968" s="161">
        <v>0</v>
      </c>
      <c r="O968" s="161">
        <v>0</v>
      </c>
      <c r="P968" s="161">
        <v>0</v>
      </c>
      <c r="Q968" s="104">
        <f t="shared" ref="Q968:Q1031" si="54">M968-P968</f>
        <v>190274.87</v>
      </c>
      <c r="R968" s="104"/>
      <c r="S968" s="66">
        <f t="shared" si="53"/>
        <v>21710.362667000001</v>
      </c>
    </row>
    <row r="969" spans="1:19" ht="15" x14ac:dyDescent="0.25">
      <c r="A969" s="141" t="s">
        <v>148</v>
      </c>
      <c r="B969" s="141" t="s">
        <v>335</v>
      </c>
      <c r="C969" s="141" t="s">
        <v>217</v>
      </c>
      <c r="D969" s="142" t="s">
        <v>242</v>
      </c>
      <c r="E969" s="158" t="s">
        <v>381</v>
      </c>
      <c r="F969" s="142" t="s">
        <v>142</v>
      </c>
      <c r="G969" s="141">
        <v>107501</v>
      </c>
      <c r="H969" s="141" t="s">
        <v>152</v>
      </c>
      <c r="I969" s="141" t="s">
        <v>276</v>
      </c>
      <c r="J969" s="159" t="s">
        <v>248</v>
      </c>
      <c r="K969" s="160">
        <v>24265</v>
      </c>
      <c r="L969" s="141"/>
      <c r="M969" s="161">
        <v>314100.13</v>
      </c>
      <c r="N969" s="161">
        <v>0</v>
      </c>
      <c r="O969" s="161">
        <v>0</v>
      </c>
      <c r="P969" s="161">
        <v>0</v>
      </c>
      <c r="Q969" s="104">
        <f t="shared" si="54"/>
        <v>314100.13</v>
      </c>
      <c r="R969" s="104"/>
      <c r="S969" s="66">
        <f t="shared" ref="S969:S979" si="55">M969*$S$7*1.141</f>
        <v>35838.824833000006</v>
      </c>
    </row>
    <row r="970" spans="1:19" ht="15" x14ac:dyDescent="0.25">
      <c r="A970" s="141" t="s">
        <v>148</v>
      </c>
      <c r="B970" s="141" t="s">
        <v>335</v>
      </c>
      <c r="C970" s="141" t="s">
        <v>217</v>
      </c>
      <c r="D970" s="142" t="s">
        <v>242</v>
      </c>
      <c r="E970" s="158" t="s">
        <v>381</v>
      </c>
      <c r="F970" s="142" t="s">
        <v>142</v>
      </c>
      <c r="G970" s="141">
        <v>107501</v>
      </c>
      <c r="H970" s="141" t="s">
        <v>152</v>
      </c>
      <c r="I970" s="141" t="s">
        <v>276</v>
      </c>
      <c r="J970" s="159" t="s">
        <v>248</v>
      </c>
      <c r="K970" s="160">
        <v>24266</v>
      </c>
      <c r="L970" s="141"/>
      <c r="M970" s="161">
        <v>122150.05</v>
      </c>
      <c r="N970" s="161">
        <v>0</v>
      </c>
      <c r="O970" s="161">
        <v>0</v>
      </c>
      <c r="P970" s="161">
        <v>0</v>
      </c>
      <c r="Q970" s="104">
        <f t="shared" si="54"/>
        <v>122150.05</v>
      </c>
      <c r="R970" s="104"/>
      <c r="S970" s="66">
        <f t="shared" si="55"/>
        <v>13937.320705000002</v>
      </c>
    </row>
    <row r="971" spans="1:19" ht="15" x14ac:dyDescent="0.25">
      <c r="A971" s="141" t="s">
        <v>148</v>
      </c>
      <c r="B971" s="141" t="s">
        <v>335</v>
      </c>
      <c r="C971" s="141" t="s">
        <v>217</v>
      </c>
      <c r="D971" s="142" t="s">
        <v>242</v>
      </c>
      <c r="E971" s="158" t="s">
        <v>381</v>
      </c>
      <c r="F971" s="142" t="s">
        <v>142</v>
      </c>
      <c r="G971" s="141">
        <v>107501</v>
      </c>
      <c r="H971" s="141" t="s">
        <v>152</v>
      </c>
      <c r="I971" s="141" t="s">
        <v>276</v>
      </c>
      <c r="J971" s="159" t="s">
        <v>248</v>
      </c>
      <c r="K971" s="160">
        <v>24267</v>
      </c>
      <c r="L971" s="141"/>
      <c r="M971" s="161">
        <v>122150.05</v>
      </c>
      <c r="N971" s="161">
        <v>0</v>
      </c>
      <c r="O971" s="161">
        <v>0</v>
      </c>
      <c r="P971" s="161">
        <v>0</v>
      </c>
      <c r="Q971" s="104">
        <f t="shared" si="54"/>
        <v>122150.05</v>
      </c>
      <c r="R971" s="104"/>
      <c r="S971" s="66">
        <f t="shared" si="55"/>
        <v>13937.320705000002</v>
      </c>
    </row>
    <row r="972" spans="1:19" ht="15" x14ac:dyDescent="0.25">
      <c r="A972" s="141" t="s">
        <v>148</v>
      </c>
      <c r="B972" s="141" t="s">
        <v>335</v>
      </c>
      <c r="C972" s="141" t="s">
        <v>217</v>
      </c>
      <c r="D972" s="142" t="s">
        <v>242</v>
      </c>
      <c r="E972" s="158" t="s">
        <v>381</v>
      </c>
      <c r="F972" s="142" t="s">
        <v>142</v>
      </c>
      <c r="G972" s="141">
        <v>107501</v>
      </c>
      <c r="H972" s="141" t="s">
        <v>152</v>
      </c>
      <c r="I972" s="141" t="s">
        <v>276</v>
      </c>
      <c r="J972" s="159" t="s">
        <v>248</v>
      </c>
      <c r="K972" s="160">
        <v>24268</v>
      </c>
      <c r="L972" s="141"/>
      <c r="M972" s="161">
        <v>184970.08</v>
      </c>
      <c r="N972" s="161">
        <v>0</v>
      </c>
      <c r="O972" s="161">
        <v>0</v>
      </c>
      <c r="P972" s="161">
        <v>0</v>
      </c>
      <c r="Q972" s="104">
        <f t="shared" si="54"/>
        <v>184970.08</v>
      </c>
      <c r="R972" s="104"/>
      <c r="S972" s="66">
        <f t="shared" si="55"/>
        <v>21105.086127999999</v>
      </c>
    </row>
    <row r="973" spans="1:19" ht="15" x14ac:dyDescent="0.25">
      <c r="A973" s="141" t="s">
        <v>148</v>
      </c>
      <c r="B973" s="141" t="s">
        <v>335</v>
      </c>
      <c r="C973" s="141" t="s">
        <v>217</v>
      </c>
      <c r="D973" s="142" t="s">
        <v>242</v>
      </c>
      <c r="E973" s="158" t="s">
        <v>381</v>
      </c>
      <c r="F973" s="142" t="s">
        <v>142</v>
      </c>
      <c r="G973" s="141">
        <v>107501</v>
      </c>
      <c r="H973" s="141" t="s">
        <v>152</v>
      </c>
      <c r="I973" s="141" t="s">
        <v>276</v>
      </c>
      <c r="J973" s="159" t="s">
        <v>248</v>
      </c>
      <c r="K973" s="160">
        <v>24269</v>
      </c>
      <c r="L973" s="141"/>
      <c r="M973" s="161">
        <v>150070.06</v>
      </c>
      <c r="N973" s="161">
        <v>0</v>
      </c>
      <c r="O973" s="161">
        <v>0</v>
      </c>
      <c r="P973" s="161">
        <v>0</v>
      </c>
      <c r="Q973" s="104">
        <f t="shared" si="54"/>
        <v>150070.06</v>
      </c>
      <c r="R973" s="104"/>
      <c r="S973" s="66">
        <f t="shared" si="55"/>
        <v>17122.993846000001</v>
      </c>
    </row>
    <row r="974" spans="1:19" ht="15" x14ac:dyDescent="0.25">
      <c r="A974" s="141" t="s">
        <v>148</v>
      </c>
      <c r="B974" s="141" t="s">
        <v>335</v>
      </c>
      <c r="C974" s="141" t="s">
        <v>217</v>
      </c>
      <c r="D974" s="142" t="s">
        <v>242</v>
      </c>
      <c r="E974" s="158" t="s">
        <v>381</v>
      </c>
      <c r="F974" s="142" t="s">
        <v>142</v>
      </c>
      <c r="G974" s="141">
        <v>107501</v>
      </c>
      <c r="H974" s="141" t="s">
        <v>152</v>
      </c>
      <c r="I974" s="141" t="s">
        <v>276</v>
      </c>
      <c r="J974" s="159" t="s">
        <v>248</v>
      </c>
      <c r="K974" s="160">
        <v>24270</v>
      </c>
      <c r="L974" s="141"/>
      <c r="M974" s="161">
        <v>157050.06</v>
      </c>
      <c r="N974" s="161">
        <v>0</v>
      </c>
      <c r="O974" s="161">
        <v>0</v>
      </c>
      <c r="P974" s="161">
        <v>0</v>
      </c>
      <c r="Q974" s="104">
        <f t="shared" si="54"/>
        <v>157050.06</v>
      </c>
      <c r="R974" s="104"/>
      <c r="S974" s="66">
        <f t="shared" si="55"/>
        <v>17919.411846000003</v>
      </c>
    </row>
    <row r="975" spans="1:19" ht="15" x14ac:dyDescent="0.25">
      <c r="A975" s="141" t="s">
        <v>148</v>
      </c>
      <c r="B975" s="141" t="s">
        <v>335</v>
      </c>
      <c r="C975" s="141" t="s">
        <v>217</v>
      </c>
      <c r="D975" s="142" t="s">
        <v>242</v>
      </c>
      <c r="E975" s="158" t="s">
        <v>381</v>
      </c>
      <c r="F975" s="142" t="s">
        <v>142</v>
      </c>
      <c r="G975" s="141">
        <v>107501</v>
      </c>
      <c r="H975" s="141" t="s">
        <v>152</v>
      </c>
      <c r="I975" s="141" t="s">
        <v>276</v>
      </c>
      <c r="J975" s="159" t="s">
        <v>248</v>
      </c>
      <c r="K975" s="160">
        <v>24271</v>
      </c>
      <c r="L975" s="141"/>
      <c r="M975" s="161">
        <v>422290.17</v>
      </c>
      <c r="N975" s="161">
        <v>0</v>
      </c>
      <c r="O975" s="161">
        <v>0</v>
      </c>
      <c r="P975" s="161">
        <v>0</v>
      </c>
      <c r="Q975" s="104">
        <f t="shared" si="54"/>
        <v>422290.17</v>
      </c>
      <c r="R975" s="104"/>
      <c r="S975" s="66">
        <f t="shared" si="55"/>
        <v>48183.308397000001</v>
      </c>
    </row>
    <row r="976" spans="1:19" ht="15" x14ac:dyDescent="0.25">
      <c r="A976" s="141" t="s">
        <v>148</v>
      </c>
      <c r="B976" s="141" t="s">
        <v>335</v>
      </c>
      <c r="C976" s="141" t="s">
        <v>217</v>
      </c>
      <c r="D976" s="142" t="s">
        <v>242</v>
      </c>
      <c r="E976" s="158" t="s">
        <v>381</v>
      </c>
      <c r="F976" s="142" t="s">
        <v>142</v>
      </c>
      <c r="G976" s="141">
        <v>107501</v>
      </c>
      <c r="H976" s="141" t="s">
        <v>152</v>
      </c>
      <c r="I976" s="141" t="s">
        <v>276</v>
      </c>
      <c r="J976" s="159" t="s">
        <v>248</v>
      </c>
      <c r="K976" s="160">
        <v>24272</v>
      </c>
      <c r="L976" s="141"/>
      <c r="M976" s="161">
        <v>202420.08</v>
      </c>
      <c r="N976" s="161">
        <v>0</v>
      </c>
      <c r="O976" s="161">
        <v>0</v>
      </c>
      <c r="P976" s="161">
        <v>0</v>
      </c>
      <c r="Q976" s="104">
        <f t="shared" si="54"/>
        <v>202420.08</v>
      </c>
      <c r="R976" s="104"/>
      <c r="S976" s="66">
        <f t="shared" si="55"/>
        <v>23096.131128000001</v>
      </c>
    </row>
    <row r="977" spans="1:19" ht="15" x14ac:dyDescent="0.25">
      <c r="A977" s="141" t="s">
        <v>148</v>
      </c>
      <c r="B977" s="141" t="s">
        <v>335</v>
      </c>
      <c r="C977" s="141" t="s">
        <v>217</v>
      </c>
      <c r="D977" s="142" t="s">
        <v>242</v>
      </c>
      <c r="E977" s="158" t="s">
        <v>381</v>
      </c>
      <c r="F977" s="142" t="s">
        <v>142</v>
      </c>
      <c r="G977" s="141">
        <v>107501</v>
      </c>
      <c r="H977" s="141" t="s">
        <v>152</v>
      </c>
      <c r="I977" s="141" t="s">
        <v>276</v>
      </c>
      <c r="J977" s="159" t="s">
        <v>248</v>
      </c>
      <c r="K977" s="160">
        <v>24273</v>
      </c>
      <c r="L977" s="141"/>
      <c r="M977" s="161">
        <v>209600.91</v>
      </c>
      <c r="N977" s="161">
        <v>0</v>
      </c>
      <c r="O977" s="161">
        <v>0</v>
      </c>
      <c r="P977" s="161">
        <v>0</v>
      </c>
      <c r="Q977" s="104">
        <f t="shared" si="54"/>
        <v>209600.91</v>
      </c>
      <c r="R977" s="104"/>
      <c r="S977" s="66">
        <f t="shared" si="55"/>
        <v>23915.463831000001</v>
      </c>
    </row>
    <row r="978" spans="1:19" ht="15" x14ac:dyDescent="0.25">
      <c r="A978" s="141" t="s">
        <v>148</v>
      </c>
      <c r="B978" s="141" t="s">
        <v>335</v>
      </c>
      <c r="C978" s="141" t="s">
        <v>217</v>
      </c>
      <c r="D978" s="142" t="s">
        <v>242</v>
      </c>
      <c r="E978" s="158" t="s">
        <v>381</v>
      </c>
      <c r="F978" s="142" t="s">
        <v>142</v>
      </c>
      <c r="G978" s="141">
        <v>107501</v>
      </c>
      <c r="H978" s="141" t="s">
        <v>152</v>
      </c>
      <c r="I978" s="141" t="s">
        <v>276</v>
      </c>
      <c r="J978" s="159" t="s">
        <v>248</v>
      </c>
      <c r="K978" s="160">
        <v>24274</v>
      </c>
      <c r="L978" s="141"/>
      <c r="M978" s="161">
        <v>307120.12</v>
      </c>
      <c r="N978" s="161">
        <v>0</v>
      </c>
      <c r="O978" s="161">
        <v>0</v>
      </c>
      <c r="P978" s="161">
        <v>0</v>
      </c>
      <c r="Q978" s="104">
        <f t="shared" si="54"/>
        <v>307120.12</v>
      </c>
      <c r="R978" s="104"/>
      <c r="S978" s="66">
        <f t="shared" si="55"/>
        <v>35042.405692</v>
      </c>
    </row>
    <row r="979" spans="1:19" ht="15" x14ac:dyDescent="0.25">
      <c r="A979" s="141" t="s">
        <v>148</v>
      </c>
      <c r="B979" s="141" t="s">
        <v>335</v>
      </c>
      <c r="C979" s="141" t="s">
        <v>217</v>
      </c>
      <c r="D979" s="142" t="s">
        <v>242</v>
      </c>
      <c r="E979" s="158" t="s">
        <v>381</v>
      </c>
      <c r="F979" s="142" t="s">
        <v>142</v>
      </c>
      <c r="G979" s="141">
        <v>107501</v>
      </c>
      <c r="H979" s="141" t="s">
        <v>152</v>
      </c>
      <c r="I979" s="141" t="s">
        <v>276</v>
      </c>
      <c r="J979" s="159" t="s">
        <v>248</v>
      </c>
      <c r="K979" s="160">
        <v>24277</v>
      </c>
      <c r="L979" s="141"/>
      <c r="M979" s="161">
        <v>132620.06</v>
      </c>
      <c r="N979" s="161">
        <v>0</v>
      </c>
      <c r="O979" s="161">
        <v>0</v>
      </c>
      <c r="P979" s="161">
        <v>0</v>
      </c>
      <c r="Q979" s="104">
        <f t="shared" si="54"/>
        <v>132620.06</v>
      </c>
      <c r="R979" s="104"/>
      <c r="S979" s="66">
        <f t="shared" si="55"/>
        <v>15131.948846000001</v>
      </c>
    </row>
    <row r="980" spans="1:19" ht="15" x14ac:dyDescent="0.25">
      <c r="A980" s="141" t="s">
        <v>148</v>
      </c>
      <c r="B980" s="141" t="s">
        <v>335</v>
      </c>
      <c r="C980" s="141" t="s">
        <v>217</v>
      </c>
      <c r="D980" s="142" t="s">
        <v>242</v>
      </c>
      <c r="E980" s="158" t="s">
        <v>381</v>
      </c>
      <c r="F980" s="142" t="s">
        <v>142</v>
      </c>
      <c r="G980" s="144">
        <v>109001</v>
      </c>
      <c r="H980" s="141" t="s">
        <v>101</v>
      </c>
      <c r="I980" s="141" t="s">
        <v>276</v>
      </c>
      <c r="J980" s="159" t="s">
        <v>248</v>
      </c>
      <c r="K980" s="160">
        <v>21112</v>
      </c>
      <c r="L980" s="141"/>
      <c r="M980" s="161">
        <v>6905.92</v>
      </c>
      <c r="N980" s="161">
        <v>0</v>
      </c>
      <c r="O980" s="161">
        <v>0</v>
      </c>
      <c r="P980" s="161">
        <v>0</v>
      </c>
      <c r="Q980" s="104">
        <f t="shared" si="54"/>
        <v>6905.92</v>
      </c>
      <c r="R980" s="129">
        <f t="shared" ref="R980:R1006" si="56">M980*-1.141</f>
        <v>-7879.6547200000005</v>
      </c>
    </row>
    <row r="981" spans="1:19" ht="15" x14ac:dyDescent="0.25">
      <c r="A981" s="141" t="s">
        <v>148</v>
      </c>
      <c r="B981" s="141" t="s">
        <v>335</v>
      </c>
      <c r="C981" s="141" t="s">
        <v>217</v>
      </c>
      <c r="D981" s="142" t="s">
        <v>242</v>
      </c>
      <c r="E981" s="158" t="s">
        <v>381</v>
      </c>
      <c r="F981" s="142" t="s">
        <v>142</v>
      </c>
      <c r="G981" s="144">
        <v>109001</v>
      </c>
      <c r="H981" s="141" t="s">
        <v>101</v>
      </c>
      <c r="I981" s="141" t="s">
        <v>276</v>
      </c>
      <c r="J981" s="159" t="s">
        <v>248</v>
      </c>
      <c r="K981" s="160">
        <v>21404</v>
      </c>
      <c r="L981" s="141"/>
      <c r="M981" s="161">
        <v>53.1</v>
      </c>
      <c r="N981" s="161">
        <v>0</v>
      </c>
      <c r="O981" s="161">
        <v>0</v>
      </c>
      <c r="P981" s="161">
        <v>0</v>
      </c>
      <c r="Q981" s="104">
        <f t="shared" si="54"/>
        <v>53.1</v>
      </c>
      <c r="R981" s="129">
        <f t="shared" si="56"/>
        <v>-60.5871</v>
      </c>
    </row>
    <row r="982" spans="1:19" ht="15" x14ac:dyDescent="0.25">
      <c r="A982" s="141" t="s">
        <v>148</v>
      </c>
      <c r="B982" s="141" t="s">
        <v>335</v>
      </c>
      <c r="C982" s="141" t="s">
        <v>217</v>
      </c>
      <c r="D982" s="142" t="s">
        <v>242</v>
      </c>
      <c r="E982" s="158" t="s">
        <v>381</v>
      </c>
      <c r="F982" s="142" t="s">
        <v>142</v>
      </c>
      <c r="G982" s="144">
        <v>109001</v>
      </c>
      <c r="H982" s="141" t="s">
        <v>101</v>
      </c>
      <c r="I982" s="141" t="s">
        <v>276</v>
      </c>
      <c r="J982" s="159" t="s">
        <v>248</v>
      </c>
      <c r="K982" s="160">
        <v>23203</v>
      </c>
      <c r="L982" s="141"/>
      <c r="M982" s="161">
        <v>2313.89</v>
      </c>
      <c r="N982" s="161">
        <v>0</v>
      </c>
      <c r="O982" s="161">
        <v>0</v>
      </c>
      <c r="P982" s="161">
        <v>0</v>
      </c>
      <c r="Q982" s="104">
        <f t="shared" si="54"/>
        <v>2313.89</v>
      </c>
      <c r="R982" s="129">
        <f t="shared" si="56"/>
        <v>-2640.14849</v>
      </c>
    </row>
    <row r="983" spans="1:19" ht="15" x14ac:dyDescent="0.25">
      <c r="A983" s="141" t="s">
        <v>148</v>
      </c>
      <c r="B983" s="141" t="s">
        <v>335</v>
      </c>
      <c r="C983" s="141" t="s">
        <v>217</v>
      </c>
      <c r="D983" s="142" t="s">
        <v>242</v>
      </c>
      <c r="E983" s="158" t="s">
        <v>381</v>
      </c>
      <c r="F983" s="142" t="s">
        <v>142</v>
      </c>
      <c r="G983" s="144">
        <v>109001</v>
      </c>
      <c r="H983" s="141" t="s">
        <v>101</v>
      </c>
      <c r="I983" s="141" t="s">
        <v>276</v>
      </c>
      <c r="J983" s="159" t="s">
        <v>248</v>
      </c>
      <c r="K983" s="160">
        <v>24201</v>
      </c>
      <c r="L983" s="141"/>
      <c r="M983" s="161">
        <v>21323.74</v>
      </c>
      <c r="N983" s="161">
        <v>0</v>
      </c>
      <c r="O983" s="161">
        <v>0</v>
      </c>
      <c r="P983" s="161">
        <v>0</v>
      </c>
      <c r="Q983" s="104">
        <f t="shared" si="54"/>
        <v>21323.74</v>
      </c>
      <c r="R983" s="129">
        <f t="shared" si="56"/>
        <v>-24330.387340000001</v>
      </c>
    </row>
    <row r="984" spans="1:19" ht="15" x14ac:dyDescent="0.25">
      <c r="A984" s="141" t="s">
        <v>148</v>
      </c>
      <c r="B984" s="141" t="s">
        <v>335</v>
      </c>
      <c r="C984" s="141" t="s">
        <v>217</v>
      </c>
      <c r="D984" s="142" t="s">
        <v>242</v>
      </c>
      <c r="E984" s="158" t="s">
        <v>381</v>
      </c>
      <c r="F984" s="142" t="s">
        <v>142</v>
      </c>
      <c r="G984" s="144">
        <v>109001</v>
      </c>
      <c r="H984" s="141" t="s">
        <v>101</v>
      </c>
      <c r="I984" s="141" t="s">
        <v>276</v>
      </c>
      <c r="J984" s="159" t="s">
        <v>248</v>
      </c>
      <c r="K984" s="160">
        <v>24203</v>
      </c>
      <c r="L984" s="141"/>
      <c r="M984" s="161">
        <v>23620.14</v>
      </c>
      <c r="N984" s="161">
        <v>0</v>
      </c>
      <c r="O984" s="161">
        <v>0</v>
      </c>
      <c r="P984" s="161">
        <v>0</v>
      </c>
      <c r="Q984" s="104">
        <f t="shared" si="54"/>
        <v>23620.14</v>
      </c>
      <c r="R984" s="129">
        <f t="shared" si="56"/>
        <v>-26950.579740000001</v>
      </c>
    </row>
    <row r="985" spans="1:19" ht="15" x14ac:dyDescent="0.25">
      <c r="A985" s="141" t="s">
        <v>148</v>
      </c>
      <c r="B985" s="141" t="s">
        <v>335</v>
      </c>
      <c r="C985" s="141" t="s">
        <v>217</v>
      </c>
      <c r="D985" s="142" t="s">
        <v>242</v>
      </c>
      <c r="E985" s="158" t="s">
        <v>381</v>
      </c>
      <c r="F985" s="142" t="s">
        <v>142</v>
      </c>
      <c r="G985" s="144">
        <v>109001</v>
      </c>
      <c r="H985" s="141" t="s">
        <v>101</v>
      </c>
      <c r="I985" s="141" t="s">
        <v>276</v>
      </c>
      <c r="J985" s="159" t="s">
        <v>248</v>
      </c>
      <c r="K985" s="160">
        <v>24206</v>
      </c>
      <c r="L985" s="141"/>
      <c r="M985" s="161">
        <v>18043.16</v>
      </c>
      <c r="N985" s="161">
        <v>0</v>
      </c>
      <c r="O985" s="161">
        <v>0</v>
      </c>
      <c r="P985" s="161">
        <v>0</v>
      </c>
      <c r="Q985" s="104">
        <f t="shared" si="54"/>
        <v>18043.16</v>
      </c>
      <c r="R985" s="129">
        <f t="shared" si="56"/>
        <v>-20587.245559999999</v>
      </c>
    </row>
    <row r="986" spans="1:19" ht="15" x14ac:dyDescent="0.25">
      <c r="A986" s="141" t="s">
        <v>148</v>
      </c>
      <c r="B986" s="141" t="s">
        <v>335</v>
      </c>
      <c r="C986" s="141" t="s">
        <v>217</v>
      </c>
      <c r="D986" s="142" t="s">
        <v>242</v>
      </c>
      <c r="E986" s="158" t="s">
        <v>381</v>
      </c>
      <c r="F986" s="142" t="s">
        <v>142</v>
      </c>
      <c r="G986" s="144">
        <v>109001</v>
      </c>
      <c r="H986" s="141" t="s">
        <v>101</v>
      </c>
      <c r="I986" s="141" t="s">
        <v>276</v>
      </c>
      <c r="J986" s="159" t="s">
        <v>248</v>
      </c>
      <c r="K986" s="160">
        <v>24207</v>
      </c>
      <c r="L986" s="141"/>
      <c r="M986" s="161">
        <v>16096.82</v>
      </c>
      <c r="N986" s="161">
        <v>0</v>
      </c>
      <c r="O986" s="161">
        <v>0</v>
      </c>
      <c r="P986" s="161">
        <v>0</v>
      </c>
      <c r="Q986" s="104">
        <f t="shared" si="54"/>
        <v>16096.82</v>
      </c>
      <c r="R986" s="129">
        <f t="shared" si="56"/>
        <v>-18366.47162</v>
      </c>
    </row>
    <row r="987" spans="1:19" ht="15" x14ac:dyDescent="0.25">
      <c r="A987" s="141" t="s">
        <v>148</v>
      </c>
      <c r="B987" s="141" t="s">
        <v>335</v>
      </c>
      <c r="C987" s="141" t="s">
        <v>217</v>
      </c>
      <c r="D987" s="142" t="s">
        <v>242</v>
      </c>
      <c r="E987" s="158" t="s">
        <v>381</v>
      </c>
      <c r="F987" s="142" t="s">
        <v>142</v>
      </c>
      <c r="G987" s="144">
        <v>109001</v>
      </c>
      <c r="H987" s="141" t="s">
        <v>101</v>
      </c>
      <c r="I987" s="141" t="s">
        <v>276</v>
      </c>
      <c r="J987" s="159" t="s">
        <v>248</v>
      </c>
      <c r="K987" s="160">
        <v>24209</v>
      </c>
      <c r="L987" s="141"/>
      <c r="M987" s="161">
        <v>14762.59</v>
      </c>
      <c r="N987" s="161">
        <v>0</v>
      </c>
      <c r="O987" s="161">
        <v>0</v>
      </c>
      <c r="P987" s="161">
        <v>0</v>
      </c>
      <c r="Q987" s="104">
        <f t="shared" si="54"/>
        <v>14762.59</v>
      </c>
      <c r="R987" s="129">
        <f t="shared" si="56"/>
        <v>-16844.11519</v>
      </c>
    </row>
    <row r="988" spans="1:19" ht="15" x14ac:dyDescent="0.25">
      <c r="A988" s="141" t="s">
        <v>148</v>
      </c>
      <c r="B988" s="141" t="s">
        <v>335</v>
      </c>
      <c r="C988" s="141" t="s">
        <v>217</v>
      </c>
      <c r="D988" s="142" t="s">
        <v>242</v>
      </c>
      <c r="E988" s="158" t="s">
        <v>381</v>
      </c>
      <c r="F988" s="142" t="s">
        <v>142</v>
      </c>
      <c r="G988" s="144">
        <v>109001</v>
      </c>
      <c r="H988" s="141" t="s">
        <v>101</v>
      </c>
      <c r="I988" s="141" t="s">
        <v>276</v>
      </c>
      <c r="J988" s="159" t="s">
        <v>248</v>
      </c>
      <c r="K988" s="160">
        <v>24210</v>
      </c>
      <c r="L988" s="141"/>
      <c r="M988" s="161">
        <v>22964.03</v>
      </c>
      <c r="N988" s="161">
        <v>0</v>
      </c>
      <c r="O988" s="161">
        <v>0</v>
      </c>
      <c r="P988" s="161">
        <v>0</v>
      </c>
      <c r="Q988" s="104">
        <f t="shared" si="54"/>
        <v>22964.03</v>
      </c>
      <c r="R988" s="129">
        <f t="shared" si="56"/>
        <v>-26201.95823</v>
      </c>
    </row>
    <row r="989" spans="1:19" ht="15" x14ac:dyDescent="0.25">
      <c r="A989" s="141" t="s">
        <v>148</v>
      </c>
      <c r="B989" s="141" t="s">
        <v>335</v>
      </c>
      <c r="C989" s="141" t="s">
        <v>217</v>
      </c>
      <c r="D989" s="142" t="s">
        <v>242</v>
      </c>
      <c r="E989" s="158" t="s">
        <v>381</v>
      </c>
      <c r="F989" s="142" t="s">
        <v>142</v>
      </c>
      <c r="G989" s="144">
        <v>109001</v>
      </c>
      <c r="H989" s="141" t="s">
        <v>101</v>
      </c>
      <c r="I989" s="141" t="s">
        <v>276</v>
      </c>
      <c r="J989" s="159" t="s">
        <v>248</v>
      </c>
      <c r="K989" s="160">
        <v>24212</v>
      </c>
      <c r="L989" s="141"/>
      <c r="M989" s="161">
        <v>7217.28</v>
      </c>
      <c r="N989" s="161">
        <v>0</v>
      </c>
      <c r="O989" s="161">
        <v>0</v>
      </c>
      <c r="P989" s="161">
        <v>0</v>
      </c>
      <c r="Q989" s="104">
        <f t="shared" si="54"/>
        <v>7217.28</v>
      </c>
      <c r="R989" s="129">
        <f t="shared" si="56"/>
        <v>-8234.9164799999999</v>
      </c>
    </row>
    <row r="990" spans="1:19" ht="15" x14ac:dyDescent="0.25">
      <c r="A990" s="141" t="s">
        <v>148</v>
      </c>
      <c r="B990" s="141" t="s">
        <v>335</v>
      </c>
      <c r="C990" s="141" t="s">
        <v>217</v>
      </c>
      <c r="D990" s="142" t="s">
        <v>242</v>
      </c>
      <c r="E990" s="158" t="s">
        <v>381</v>
      </c>
      <c r="F990" s="142" t="s">
        <v>142</v>
      </c>
      <c r="G990" s="144">
        <v>109001</v>
      </c>
      <c r="H990" s="141" t="s">
        <v>101</v>
      </c>
      <c r="I990" s="141" t="s">
        <v>276</v>
      </c>
      <c r="J990" s="159" t="s">
        <v>248</v>
      </c>
      <c r="K990" s="160">
        <v>24213</v>
      </c>
      <c r="L990" s="141"/>
      <c r="M990" s="161">
        <v>21323.74</v>
      </c>
      <c r="N990" s="161">
        <v>0</v>
      </c>
      <c r="O990" s="161">
        <v>0</v>
      </c>
      <c r="P990" s="161">
        <v>0</v>
      </c>
      <c r="Q990" s="104">
        <f t="shared" si="54"/>
        <v>21323.74</v>
      </c>
      <c r="R990" s="129">
        <f t="shared" si="56"/>
        <v>-24330.387340000001</v>
      </c>
    </row>
    <row r="991" spans="1:19" ht="15" x14ac:dyDescent="0.25">
      <c r="A991" s="141" t="s">
        <v>148</v>
      </c>
      <c r="B991" s="141" t="s">
        <v>335</v>
      </c>
      <c r="C991" s="141" t="s">
        <v>217</v>
      </c>
      <c r="D991" s="142" t="s">
        <v>242</v>
      </c>
      <c r="E991" s="158" t="s">
        <v>381</v>
      </c>
      <c r="F991" s="142" t="s">
        <v>142</v>
      </c>
      <c r="G991" s="144">
        <v>109001</v>
      </c>
      <c r="H991" s="141" t="s">
        <v>101</v>
      </c>
      <c r="I991" s="141" t="s">
        <v>276</v>
      </c>
      <c r="J991" s="159" t="s">
        <v>248</v>
      </c>
      <c r="K991" s="160">
        <v>24214</v>
      </c>
      <c r="L991" s="141"/>
      <c r="M991" s="161">
        <v>17387.05</v>
      </c>
      <c r="N991" s="161">
        <v>0</v>
      </c>
      <c r="O991" s="161">
        <v>0</v>
      </c>
      <c r="P991" s="161">
        <v>0</v>
      </c>
      <c r="Q991" s="104">
        <f t="shared" si="54"/>
        <v>17387.05</v>
      </c>
      <c r="R991" s="129">
        <f t="shared" si="56"/>
        <v>-19838.624049999999</v>
      </c>
    </row>
    <row r="992" spans="1:19" ht="15" x14ac:dyDescent="0.25">
      <c r="A992" s="141" t="s">
        <v>148</v>
      </c>
      <c r="B992" s="141" t="s">
        <v>335</v>
      </c>
      <c r="C992" s="141" t="s">
        <v>217</v>
      </c>
      <c r="D992" s="142" t="s">
        <v>242</v>
      </c>
      <c r="E992" s="158" t="s">
        <v>381</v>
      </c>
      <c r="F992" s="142" t="s">
        <v>142</v>
      </c>
      <c r="G992" s="144">
        <v>109001</v>
      </c>
      <c r="H992" s="141" t="s">
        <v>101</v>
      </c>
      <c r="I992" s="141" t="s">
        <v>276</v>
      </c>
      <c r="J992" s="159" t="s">
        <v>248</v>
      </c>
      <c r="K992" s="160">
        <v>24220</v>
      </c>
      <c r="L992" s="141"/>
      <c r="M992" s="161">
        <v>14762.59</v>
      </c>
      <c r="N992" s="161">
        <v>0</v>
      </c>
      <c r="O992" s="161">
        <v>0</v>
      </c>
      <c r="P992" s="161">
        <v>0</v>
      </c>
      <c r="Q992" s="104">
        <f t="shared" si="54"/>
        <v>14762.59</v>
      </c>
      <c r="R992" s="129">
        <f t="shared" si="56"/>
        <v>-16844.11519</v>
      </c>
    </row>
    <row r="993" spans="1:18" ht="15" x14ac:dyDescent="0.25">
      <c r="A993" s="141" t="s">
        <v>148</v>
      </c>
      <c r="B993" s="141" t="s">
        <v>335</v>
      </c>
      <c r="C993" s="141" t="s">
        <v>217</v>
      </c>
      <c r="D993" s="142" t="s">
        <v>242</v>
      </c>
      <c r="E993" s="158" t="s">
        <v>381</v>
      </c>
      <c r="F993" s="142" t="s">
        <v>142</v>
      </c>
      <c r="G993" s="144">
        <v>109001</v>
      </c>
      <c r="H993" s="141" t="s">
        <v>101</v>
      </c>
      <c r="I993" s="141" t="s">
        <v>276</v>
      </c>
      <c r="J993" s="159" t="s">
        <v>248</v>
      </c>
      <c r="K993" s="160">
        <v>24221</v>
      </c>
      <c r="L993" s="141"/>
      <c r="M993" s="161">
        <v>18043.16</v>
      </c>
      <c r="N993" s="161">
        <v>0</v>
      </c>
      <c r="O993" s="161">
        <v>0</v>
      </c>
      <c r="P993" s="161">
        <v>0</v>
      </c>
      <c r="Q993" s="104">
        <f t="shared" si="54"/>
        <v>18043.16</v>
      </c>
      <c r="R993" s="129">
        <f t="shared" si="56"/>
        <v>-20587.245559999999</v>
      </c>
    </row>
    <row r="994" spans="1:18" ht="15" x14ac:dyDescent="0.25">
      <c r="A994" s="141" t="s">
        <v>148</v>
      </c>
      <c r="B994" s="141" t="s">
        <v>335</v>
      </c>
      <c r="C994" s="141" t="s">
        <v>217</v>
      </c>
      <c r="D994" s="142" t="s">
        <v>242</v>
      </c>
      <c r="E994" s="158" t="s">
        <v>381</v>
      </c>
      <c r="F994" s="142" t="s">
        <v>142</v>
      </c>
      <c r="G994" s="144">
        <v>109001</v>
      </c>
      <c r="H994" s="141" t="s">
        <v>101</v>
      </c>
      <c r="I994" s="141" t="s">
        <v>276</v>
      </c>
      <c r="J994" s="159" t="s">
        <v>248</v>
      </c>
      <c r="K994" s="160">
        <v>24222</v>
      </c>
      <c r="L994" s="141"/>
      <c r="M994" s="161">
        <v>34446.04</v>
      </c>
      <c r="N994" s="161">
        <v>0</v>
      </c>
      <c r="O994" s="161">
        <v>0</v>
      </c>
      <c r="P994" s="161">
        <v>0</v>
      </c>
      <c r="Q994" s="104">
        <f t="shared" si="54"/>
        <v>34446.04</v>
      </c>
      <c r="R994" s="129">
        <f t="shared" si="56"/>
        <v>-39302.931640000003</v>
      </c>
    </row>
    <row r="995" spans="1:18" ht="15" x14ac:dyDescent="0.25">
      <c r="A995" s="141" t="s">
        <v>148</v>
      </c>
      <c r="B995" s="141" t="s">
        <v>335</v>
      </c>
      <c r="C995" s="141" t="s">
        <v>217</v>
      </c>
      <c r="D995" s="142" t="s">
        <v>242</v>
      </c>
      <c r="E995" s="158" t="s">
        <v>381</v>
      </c>
      <c r="F995" s="142" t="s">
        <v>142</v>
      </c>
      <c r="G995" s="144">
        <v>109001</v>
      </c>
      <c r="H995" s="141" t="s">
        <v>101</v>
      </c>
      <c r="I995" s="141" t="s">
        <v>276</v>
      </c>
      <c r="J995" s="159" t="s">
        <v>248</v>
      </c>
      <c r="K995" s="160">
        <v>24264</v>
      </c>
      <c r="L995" s="141"/>
      <c r="M995" s="161">
        <v>17885.689999999999</v>
      </c>
      <c r="N995" s="161">
        <v>0</v>
      </c>
      <c r="O995" s="161">
        <v>0</v>
      </c>
      <c r="P995" s="161">
        <v>0</v>
      </c>
      <c r="Q995" s="104">
        <f t="shared" si="54"/>
        <v>17885.689999999999</v>
      </c>
      <c r="R995" s="129">
        <f t="shared" si="56"/>
        <v>-20407.57229</v>
      </c>
    </row>
    <row r="996" spans="1:18" ht="15" x14ac:dyDescent="0.25">
      <c r="A996" s="141" t="s">
        <v>148</v>
      </c>
      <c r="B996" s="141" t="s">
        <v>335</v>
      </c>
      <c r="C996" s="141" t="s">
        <v>217</v>
      </c>
      <c r="D996" s="142" t="s">
        <v>242</v>
      </c>
      <c r="E996" s="158" t="s">
        <v>381</v>
      </c>
      <c r="F996" s="142" t="s">
        <v>142</v>
      </c>
      <c r="G996" s="144">
        <v>109001</v>
      </c>
      <c r="H996" s="141" t="s">
        <v>101</v>
      </c>
      <c r="I996" s="141" t="s">
        <v>276</v>
      </c>
      <c r="J996" s="159" t="s">
        <v>248</v>
      </c>
      <c r="K996" s="160">
        <v>24265</v>
      </c>
      <c r="L996" s="141"/>
      <c r="M996" s="161">
        <v>29525.18</v>
      </c>
      <c r="N996" s="161">
        <v>0</v>
      </c>
      <c r="O996" s="161">
        <v>0</v>
      </c>
      <c r="P996" s="161">
        <v>0</v>
      </c>
      <c r="Q996" s="104">
        <f t="shared" si="54"/>
        <v>29525.18</v>
      </c>
      <c r="R996" s="129">
        <f t="shared" si="56"/>
        <v>-33688.230380000001</v>
      </c>
    </row>
    <row r="997" spans="1:18" ht="15" x14ac:dyDescent="0.25">
      <c r="A997" s="141" t="s">
        <v>148</v>
      </c>
      <c r="B997" s="141" t="s">
        <v>335</v>
      </c>
      <c r="C997" s="141" t="s">
        <v>217</v>
      </c>
      <c r="D997" s="142" t="s">
        <v>242</v>
      </c>
      <c r="E997" s="158" t="s">
        <v>381</v>
      </c>
      <c r="F997" s="142" t="s">
        <v>142</v>
      </c>
      <c r="G997" s="144">
        <v>109001</v>
      </c>
      <c r="H997" s="141" t="s">
        <v>101</v>
      </c>
      <c r="I997" s="141" t="s">
        <v>276</v>
      </c>
      <c r="J997" s="159" t="s">
        <v>248</v>
      </c>
      <c r="K997" s="160">
        <v>24266</v>
      </c>
      <c r="L997" s="141"/>
      <c r="M997" s="161">
        <v>11482.01</v>
      </c>
      <c r="N997" s="161">
        <v>0</v>
      </c>
      <c r="O997" s="161">
        <v>0</v>
      </c>
      <c r="P997" s="161">
        <v>0</v>
      </c>
      <c r="Q997" s="104">
        <f t="shared" si="54"/>
        <v>11482.01</v>
      </c>
      <c r="R997" s="129">
        <f t="shared" si="56"/>
        <v>-13100.973410000001</v>
      </c>
    </row>
    <row r="998" spans="1:18" ht="15" x14ac:dyDescent="0.25">
      <c r="A998" s="141" t="s">
        <v>148</v>
      </c>
      <c r="B998" s="141" t="s">
        <v>335</v>
      </c>
      <c r="C998" s="141" t="s">
        <v>217</v>
      </c>
      <c r="D998" s="142" t="s">
        <v>242</v>
      </c>
      <c r="E998" s="158" t="s">
        <v>381</v>
      </c>
      <c r="F998" s="142" t="s">
        <v>142</v>
      </c>
      <c r="G998" s="144">
        <v>109001</v>
      </c>
      <c r="H998" s="141" t="s">
        <v>101</v>
      </c>
      <c r="I998" s="141" t="s">
        <v>276</v>
      </c>
      <c r="J998" s="159" t="s">
        <v>248</v>
      </c>
      <c r="K998" s="160">
        <v>24267</v>
      </c>
      <c r="L998" s="141"/>
      <c r="M998" s="161">
        <v>11482.01</v>
      </c>
      <c r="N998" s="161">
        <v>0</v>
      </c>
      <c r="O998" s="161">
        <v>0</v>
      </c>
      <c r="P998" s="161">
        <v>0</v>
      </c>
      <c r="Q998" s="104">
        <f t="shared" si="54"/>
        <v>11482.01</v>
      </c>
      <c r="R998" s="129">
        <f t="shared" si="56"/>
        <v>-13100.973410000001</v>
      </c>
    </row>
    <row r="999" spans="1:18" ht="15" x14ac:dyDescent="0.25">
      <c r="A999" s="141" t="s">
        <v>148</v>
      </c>
      <c r="B999" s="141" t="s">
        <v>335</v>
      </c>
      <c r="C999" s="141" t="s">
        <v>217</v>
      </c>
      <c r="D999" s="142" t="s">
        <v>242</v>
      </c>
      <c r="E999" s="158" t="s">
        <v>381</v>
      </c>
      <c r="F999" s="142" t="s">
        <v>142</v>
      </c>
      <c r="G999" s="144">
        <v>109001</v>
      </c>
      <c r="H999" s="141" t="s">
        <v>101</v>
      </c>
      <c r="I999" s="141" t="s">
        <v>276</v>
      </c>
      <c r="J999" s="159" t="s">
        <v>248</v>
      </c>
      <c r="K999" s="160">
        <v>24268</v>
      </c>
      <c r="L999" s="141"/>
      <c r="M999" s="161">
        <v>17387.05</v>
      </c>
      <c r="N999" s="161">
        <v>0</v>
      </c>
      <c r="O999" s="161">
        <v>0</v>
      </c>
      <c r="P999" s="161">
        <v>0</v>
      </c>
      <c r="Q999" s="104">
        <f t="shared" si="54"/>
        <v>17387.05</v>
      </c>
      <c r="R999" s="129">
        <f t="shared" si="56"/>
        <v>-19838.624049999999</v>
      </c>
    </row>
    <row r="1000" spans="1:18" ht="15" x14ac:dyDescent="0.25">
      <c r="A1000" s="141" t="s">
        <v>148</v>
      </c>
      <c r="B1000" s="141" t="s">
        <v>335</v>
      </c>
      <c r="C1000" s="141" t="s">
        <v>217</v>
      </c>
      <c r="D1000" s="142" t="s">
        <v>242</v>
      </c>
      <c r="E1000" s="158" t="s">
        <v>381</v>
      </c>
      <c r="F1000" s="142" t="s">
        <v>142</v>
      </c>
      <c r="G1000" s="144">
        <v>109001</v>
      </c>
      <c r="H1000" s="141" t="s">
        <v>101</v>
      </c>
      <c r="I1000" s="141" t="s">
        <v>276</v>
      </c>
      <c r="J1000" s="159" t="s">
        <v>248</v>
      </c>
      <c r="K1000" s="160">
        <v>24269</v>
      </c>
      <c r="L1000" s="141"/>
      <c r="M1000" s="161">
        <v>14106.48</v>
      </c>
      <c r="N1000" s="161">
        <v>0</v>
      </c>
      <c r="O1000" s="161">
        <v>0</v>
      </c>
      <c r="P1000" s="161">
        <v>0</v>
      </c>
      <c r="Q1000" s="104">
        <f t="shared" si="54"/>
        <v>14106.48</v>
      </c>
      <c r="R1000" s="129">
        <f t="shared" si="56"/>
        <v>-16095.49368</v>
      </c>
    </row>
    <row r="1001" spans="1:18" ht="15" x14ac:dyDescent="0.25">
      <c r="A1001" s="141" t="s">
        <v>148</v>
      </c>
      <c r="B1001" s="141" t="s">
        <v>335</v>
      </c>
      <c r="C1001" s="141" t="s">
        <v>217</v>
      </c>
      <c r="D1001" s="142" t="s">
        <v>242</v>
      </c>
      <c r="E1001" s="158" t="s">
        <v>381</v>
      </c>
      <c r="F1001" s="142" t="s">
        <v>142</v>
      </c>
      <c r="G1001" s="144">
        <v>109001</v>
      </c>
      <c r="H1001" s="141" t="s">
        <v>101</v>
      </c>
      <c r="I1001" s="141" t="s">
        <v>276</v>
      </c>
      <c r="J1001" s="159" t="s">
        <v>248</v>
      </c>
      <c r="K1001" s="160">
        <v>24270</v>
      </c>
      <c r="L1001" s="141"/>
      <c r="M1001" s="161">
        <v>14762.59</v>
      </c>
      <c r="N1001" s="161">
        <v>0</v>
      </c>
      <c r="O1001" s="161">
        <v>0</v>
      </c>
      <c r="P1001" s="161">
        <v>0</v>
      </c>
      <c r="Q1001" s="104">
        <f t="shared" si="54"/>
        <v>14762.59</v>
      </c>
      <c r="R1001" s="129">
        <f t="shared" si="56"/>
        <v>-16844.11519</v>
      </c>
    </row>
    <row r="1002" spans="1:18" ht="15" x14ac:dyDescent="0.25">
      <c r="A1002" s="141" t="s">
        <v>148</v>
      </c>
      <c r="B1002" s="141" t="s">
        <v>335</v>
      </c>
      <c r="C1002" s="141" t="s">
        <v>217</v>
      </c>
      <c r="D1002" s="142" t="s">
        <v>242</v>
      </c>
      <c r="E1002" s="158" t="s">
        <v>381</v>
      </c>
      <c r="F1002" s="142" t="s">
        <v>142</v>
      </c>
      <c r="G1002" s="144">
        <v>109001</v>
      </c>
      <c r="H1002" s="141" t="s">
        <v>101</v>
      </c>
      <c r="I1002" s="141" t="s">
        <v>276</v>
      </c>
      <c r="J1002" s="159" t="s">
        <v>248</v>
      </c>
      <c r="K1002" s="160">
        <v>24271</v>
      </c>
      <c r="L1002" s="141"/>
      <c r="M1002" s="161">
        <v>39694.959999999999</v>
      </c>
      <c r="N1002" s="161">
        <v>0</v>
      </c>
      <c r="O1002" s="161">
        <v>0</v>
      </c>
      <c r="P1002" s="161">
        <v>0</v>
      </c>
      <c r="Q1002" s="104">
        <f t="shared" si="54"/>
        <v>39694.959999999999</v>
      </c>
      <c r="R1002" s="129">
        <f t="shared" si="56"/>
        <v>-45291.949359999999</v>
      </c>
    </row>
    <row r="1003" spans="1:18" ht="15" x14ac:dyDescent="0.25">
      <c r="A1003" s="141" t="s">
        <v>148</v>
      </c>
      <c r="B1003" s="141" t="s">
        <v>335</v>
      </c>
      <c r="C1003" s="141" t="s">
        <v>217</v>
      </c>
      <c r="D1003" s="142" t="s">
        <v>242</v>
      </c>
      <c r="E1003" s="158" t="s">
        <v>381</v>
      </c>
      <c r="F1003" s="142" t="s">
        <v>142</v>
      </c>
      <c r="G1003" s="144">
        <v>109001</v>
      </c>
      <c r="H1003" s="141" t="s">
        <v>101</v>
      </c>
      <c r="I1003" s="141" t="s">
        <v>276</v>
      </c>
      <c r="J1003" s="159" t="s">
        <v>248</v>
      </c>
      <c r="K1003" s="160">
        <v>24272</v>
      </c>
      <c r="L1003" s="141"/>
      <c r="M1003" s="161">
        <v>19027.34</v>
      </c>
      <c r="N1003" s="161">
        <v>0</v>
      </c>
      <c r="O1003" s="161">
        <v>0</v>
      </c>
      <c r="P1003" s="161">
        <v>0</v>
      </c>
      <c r="Q1003" s="104">
        <f t="shared" si="54"/>
        <v>19027.34</v>
      </c>
      <c r="R1003" s="129">
        <f t="shared" si="56"/>
        <v>-21710.194940000001</v>
      </c>
    </row>
    <row r="1004" spans="1:18" ht="15" x14ac:dyDescent="0.25">
      <c r="A1004" s="141" t="s">
        <v>148</v>
      </c>
      <c r="B1004" s="141" t="s">
        <v>335</v>
      </c>
      <c r="C1004" s="141" t="s">
        <v>217</v>
      </c>
      <c r="D1004" s="142" t="s">
        <v>242</v>
      </c>
      <c r="E1004" s="158" t="s">
        <v>381</v>
      </c>
      <c r="F1004" s="142" t="s">
        <v>142</v>
      </c>
      <c r="G1004" s="144">
        <v>109001</v>
      </c>
      <c r="H1004" s="141" t="s">
        <v>101</v>
      </c>
      <c r="I1004" s="141" t="s">
        <v>276</v>
      </c>
      <c r="J1004" s="159" t="s">
        <v>248</v>
      </c>
      <c r="K1004" s="160">
        <v>24273</v>
      </c>
      <c r="L1004" s="141"/>
      <c r="M1004" s="161">
        <v>19627.080000000002</v>
      </c>
      <c r="N1004" s="161">
        <v>0</v>
      </c>
      <c r="O1004" s="161">
        <v>0</v>
      </c>
      <c r="P1004" s="161">
        <v>0</v>
      </c>
      <c r="Q1004" s="104">
        <f t="shared" si="54"/>
        <v>19627.080000000002</v>
      </c>
      <c r="R1004" s="129">
        <f t="shared" si="56"/>
        <v>-22394.498280000003</v>
      </c>
    </row>
    <row r="1005" spans="1:18" ht="15" x14ac:dyDescent="0.25">
      <c r="A1005" s="141" t="s">
        <v>148</v>
      </c>
      <c r="B1005" s="141" t="s">
        <v>335</v>
      </c>
      <c r="C1005" s="141" t="s">
        <v>217</v>
      </c>
      <c r="D1005" s="142" t="s">
        <v>242</v>
      </c>
      <c r="E1005" s="158" t="s">
        <v>381</v>
      </c>
      <c r="F1005" s="142" t="s">
        <v>142</v>
      </c>
      <c r="G1005" s="144">
        <v>109001</v>
      </c>
      <c r="H1005" s="141" t="s">
        <v>101</v>
      </c>
      <c r="I1005" s="141" t="s">
        <v>276</v>
      </c>
      <c r="J1005" s="159" t="s">
        <v>248</v>
      </c>
      <c r="K1005" s="160">
        <v>24274</v>
      </c>
      <c r="L1005" s="141"/>
      <c r="M1005" s="161">
        <v>28869.05</v>
      </c>
      <c r="N1005" s="161">
        <v>0</v>
      </c>
      <c r="O1005" s="161">
        <v>0</v>
      </c>
      <c r="P1005" s="161">
        <v>0</v>
      </c>
      <c r="Q1005" s="104">
        <f t="shared" si="54"/>
        <v>28869.05</v>
      </c>
      <c r="R1005" s="129">
        <f t="shared" si="56"/>
        <v>-32939.586049999998</v>
      </c>
    </row>
    <row r="1006" spans="1:18" ht="15" x14ac:dyDescent="0.25">
      <c r="A1006" s="141" t="s">
        <v>148</v>
      </c>
      <c r="B1006" s="141" t="s">
        <v>335</v>
      </c>
      <c r="C1006" s="141" t="s">
        <v>217</v>
      </c>
      <c r="D1006" s="142" t="s">
        <v>242</v>
      </c>
      <c r="E1006" s="158" t="s">
        <v>381</v>
      </c>
      <c r="F1006" s="142" t="s">
        <v>142</v>
      </c>
      <c r="G1006" s="144">
        <v>109001</v>
      </c>
      <c r="H1006" s="141" t="s">
        <v>101</v>
      </c>
      <c r="I1006" s="141" t="s">
        <v>276</v>
      </c>
      <c r="J1006" s="159" t="s">
        <v>248</v>
      </c>
      <c r="K1006" s="160">
        <v>24277</v>
      </c>
      <c r="L1006" s="141"/>
      <c r="M1006" s="161">
        <v>12466.19</v>
      </c>
      <c r="N1006" s="161">
        <v>0</v>
      </c>
      <c r="O1006" s="161">
        <v>0</v>
      </c>
      <c r="P1006" s="161">
        <v>0</v>
      </c>
      <c r="Q1006" s="104">
        <f t="shared" si="54"/>
        <v>12466.19</v>
      </c>
      <c r="R1006" s="129">
        <f t="shared" si="56"/>
        <v>-14223.922790000001</v>
      </c>
    </row>
    <row r="1007" spans="1:18" ht="15" x14ac:dyDescent="0.25">
      <c r="A1007" s="141" t="s">
        <v>148</v>
      </c>
      <c r="B1007" s="141" t="s">
        <v>335</v>
      </c>
      <c r="C1007" s="141" t="s">
        <v>217</v>
      </c>
      <c r="D1007" s="142" t="s">
        <v>242</v>
      </c>
      <c r="E1007" s="158" t="s">
        <v>381</v>
      </c>
      <c r="F1007" s="142" t="s">
        <v>142</v>
      </c>
      <c r="G1007" s="144">
        <v>109901</v>
      </c>
      <c r="H1007" s="141" t="s">
        <v>102</v>
      </c>
      <c r="I1007" s="141" t="s">
        <v>276</v>
      </c>
      <c r="J1007" s="159" t="s">
        <v>248</v>
      </c>
      <c r="K1007" s="160">
        <v>21112</v>
      </c>
      <c r="L1007" s="141"/>
      <c r="M1007" s="161">
        <v>10928.53</v>
      </c>
      <c r="N1007" s="161">
        <v>0</v>
      </c>
      <c r="O1007" s="161">
        <v>0</v>
      </c>
      <c r="P1007" s="161">
        <v>0</v>
      </c>
      <c r="Q1007" s="104">
        <f t="shared" si="54"/>
        <v>10928.53</v>
      </c>
      <c r="R1007" s="104"/>
    </row>
    <row r="1008" spans="1:18" ht="15" x14ac:dyDescent="0.25">
      <c r="A1008" s="141" t="s">
        <v>148</v>
      </c>
      <c r="B1008" s="141" t="s">
        <v>335</v>
      </c>
      <c r="C1008" s="141" t="s">
        <v>217</v>
      </c>
      <c r="D1008" s="142" t="s">
        <v>242</v>
      </c>
      <c r="E1008" s="158" t="s">
        <v>381</v>
      </c>
      <c r="F1008" s="142" t="s">
        <v>142</v>
      </c>
      <c r="G1008" s="144">
        <v>109901</v>
      </c>
      <c r="H1008" s="141" t="s">
        <v>102</v>
      </c>
      <c r="I1008" s="141" t="s">
        <v>276</v>
      </c>
      <c r="J1008" s="159" t="s">
        <v>248</v>
      </c>
      <c r="K1008" s="160">
        <v>21404</v>
      </c>
      <c r="L1008" s="141"/>
      <c r="M1008" s="161">
        <v>79.650000000000006</v>
      </c>
      <c r="N1008" s="161">
        <v>0</v>
      </c>
      <c r="O1008" s="161">
        <v>0</v>
      </c>
      <c r="P1008" s="161">
        <v>0</v>
      </c>
      <c r="Q1008" s="104">
        <f t="shared" si="54"/>
        <v>79.650000000000006</v>
      </c>
      <c r="R1008" s="104"/>
    </row>
    <row r="1009" spans="1:18" ht="15" x14ac:dyDescent="0.25">
      <c r="A1009" s="141" t="s">
        <v>148</v>
      </c>
      <c r="B1009" s="141" t="s">
        <v>335</v>
      </c>
      <c r="C1009" s="141" t="s">
        <v>217</v>
      </c>
      <c r="D1009" s="142" t="s">
        <v>242</v>
      </c>
      <c r="E1009" s="158" t="s">
        <v>381</v>
      </c>
      <c r="F1009" s="142" t="s">
        <v>142</v>
      </c>
      <c r="G1009" s="144">
        <v>109901</v>
      </c>
      <c r="H1009" s="141" t="s">
        <v>102</v>
      </c>
      <c r="I1009" s="141" t="s">
        <v>276</v>
      </c>
      <c r="J1009" s="159" t="s">
        <v>248</v>
      </c>
      <c r="K1009" s="160">
        <v>23203</v>
      </c>
      <c r="L1009" s="141"/>
      <c r="M1009" s="161">
        <v>3662.54</v>
      </c>
      <c r="N1009" s="161">
        <v>0</v>
      </c>
      <c r="O1009" s="161">
        <v>0</v>
      </c>
      <c r="P1009" s="161">
        <v>0</v>
      </c>
      <c r="Q1009" s="104">
        <f t="shared" si="54"/>
        <v>3662.54</v>
      </c>
      <c r="R1009" s="104"/>
    </row>
    <row r="1010" spans="1:18" ht="15" x14ac:dyDescent="0.25">
      <c r="A1010" s="141" t="s">
        <v>148</v>
      </c>
      <c r="B1010" s="141" t="s">
        <v>335</v>
      </c>
      <c r="C1010" s="141" t="s">
        <v>217</v>
      </c>
      <c r="D1010" s="142" t="s">
        <v>242</v>
      </c>
      <c r="E1010" s="158" t="s">
        <v>381</v>
      </c>
      <c r="F1010" s="142" t="s">
        <v>142</v>
      </c>
      <c r="G1010" s="144">
        <v>109901</v>
      </c>
      <c r="H1010" s="141" t="s">
        <v>102</v>
      </c>
      <c r="I1010" s="141" t="s">
        <v>276</v>
      </c>
      <c r="J1010" s="159" t="s">
        <v>248</v>
      </c>
      <c r="K1010" s="160">
        <v>24201</v>
      </c>
      <c r="L1010" s="141"/>
      <c r="M1010" s="161">
        <v>33752.17</v>
      </c>
      <c r="N1010" s="161">
        <v>0</v>
      </c>
      <c r="O1010" s="161">
        <v>0</v>
      </c>
      <c r="P1010" s="161">
        <v>0</v>
      </c>
      <c r="Q1010" s="104">
        <f t="shared" si="54"/>
        <v>33752.17</v>
      </c>
      <c r="R1010" s="104"/>
    </row>
    <row r="1011" spans="1:18" ht="15" x14ac:dyDescent="0.25">
      <c r="A1011" s="141" t="s">
        <v>148</v>
      </c>
      <c r="B1011" s="141" t="s">
        <v>335</v>
      </c>
      <c r="C1011" s="141" t="s">
        <v>217</v>
      </c>
      <c r="D1011" s="142" t="s">
        <v>242</v>
      </c>
      <c r="E1011" s="158" t="s">
        <v>381</v>
      </c>
      <c r="F1011" s="142" t="s">
        <v>142</v>
      </c>
      <c r="G1011" s="144">
        <v>109901</v>
      </c>
      <c r="H1011" s="141" t="s">
        <v>102</v>
      </c>
      <c r="I1011" s="141" t="s">
        <v>276</v>
      </c>
      <c r="J1011" s="159" t="s">
        <v>248</v>
      </c>
      <c r="K1011" s="160">
        <v>24203</v>
      </c>
      <c r="L1011" s="141"/>
      <c r="M1011" s="161">
        <v>37387.019999999997</v>
      </c>
      <c r="N1011" s="161">
        <v>0</v>
      </c>
      <c r="O1011" s="161">
        <v>0</v>
      </c>
      <c r="P1011" s="161">
        <v>0</v>
      </c>
      <c r="Q1011" s="104">
        <f t="shared" si="54"/>
        <v>37387.019999999997</v>
      </c>
      <c r="R1011" s="104"/>
    </row>
    <row r="1012" spans="1:18" ht="15" x14ac:dyDescent="0.25">
      <c r="A1012" s="141" t="s">
        <v>148</v>
      </c>
      <c r="B1012" s="141" t="s">
        <v>335</v>
      </c>
      <c r="C1012" s="141" t="s">
        <v>217</v>
      </c>
      <c r="D1012" s="142" t="s">
        <v>242</v>
      </c>
      <c r="E1012" s="158" t="s">
        <v>381</v>
      </c>
      <c r="F1012" s="142" t="s">
        <v>142</v>
      </c>
      <c r="G1012" s="144">
        <v>109901</v>
      </c>
      <c r="H1012" s="141" t="s">
        <v>102</v>
      </c>
      <c r="I1012" s="141" t="s">
        <v>276</v>
      </c>
      <c r="J1012" s="159" t="s">
        <v>248</v>
      </c>
      <c r="K1012" s="160">
        <v>24206</v>
      </c>
      <c r="L1012" s="141"/>
      <c r="M1012" s="161">
        <v>28559.53</v>
      </c>
      <c r="N1012" s="161">
        <v>0</v>
      </c>
      <c r="O1012" s="161">
        <v>0</v>
      </c>
      <c r="P1012" s="161">
        <v>0</v>
      </c>
      <c r="Q1012" s="104">
        <f t="shared" si="54"/>
        <v>28559.53</v>
      </c>
      <c r="R1012" s="104"/>
    </row>
    <row r="1013" spans="1:18" ht="15" x14ac:dyDescent="0.25">
      <c r="A1013" s="141" t="s">
        <v>148</v>
      </c>
      <c r="B1013" s="141" t="s">
        <v>335</v>
      </c>
      <c r="C1013" s="141" t="s">
        <v>217</v>
      </c>
      <c r="D1013" s="142" t="s">
        <v>242</v>
      </c>
      <c r="E1013" s="158" t="s">
        <v>381</v>
      </c>
      <c r="F1013" s="142" t="s">
        <v>142</v>
      </c>
      <c r="G1013" s="144">
        <v>109901</v>
      </c>
      <c r="H1013" s="141" t="s">
        <v>102</v>
      </c>
      <c r="I1013" s="141" t="s">
        <v>276</v>
      </c>
      <c r="J1013" s="159" t="s">
        <v>248</v>
      </c>
      <c r="K1013" s="160">
        <v>24207</v>
      </c>
      <c r="L1013" s="141"/>
      <c r="M1013" s="161">
        <v>25529.279999999999</v>
      </c>
      <c r="N1013" s="161">
        <v>0</v>
      </c>
      <c r="O1013" s="161">
        <v>0</v>
      </c>
      <c r="P1013" s="161">
        <v>0</v>
      </c>
      <c r="Q1013" s="104">
        <f t="shared" si="54"/>
        <v>25529.279999999999</v>
      </c>
      <c r="R1013" s="104"/>
    </row>
    <row r="1014" spans="1:18" ht="15" x14ac:dyDescent="0.25">
      <c r="A1014" s="141" t="s">
        <v>148</v>
      </c>
      <c r="B1014" s="141" t="s">
        <v>335</v>
      </c>
      <c r="C1014" s="141" t="s">
        <v>217</v>
      </c>
      <c r="D1014" s="142" t="s">
        <v>242</v>
      </c>
      <c r="E1014" s="158" t="s">
        <v>381</v>
      </c>
      <c r="F1014" s="142" t="s">
        <v>142</v>
      </c>
      <c r="G1014" s="144">
        <v>109901</v>
      </c>
      <c r="H1014" s="141" t="s">
        <v>102</v>
      </c>
      <c r="I1014" s="141" t="s">
        <v>276</v>
      </c>
      <c r="J1014" s="159" t="s">
        <v>248</v>
      </c>
      <c r="K1014" s="160">
        <v>24209</v>
      </c>
      <c r="L1014" s="141"/>
      <c r="M1014" s="161">
        <v>23366.880000000001</v>
      </c>
      <c r="N1014" s="161">
        <v>0</v>
      </c>
      <c r="O1014" s="161">
        <v>0</v>
      </c>
      <c r="P1014" s="161">
        <v>0</v>
      </c>
      <c r="Q1014" s="104">
        <f t="shared" si="54"/>
        <v>23366.880000000001</v>
      </c>
      <c r="R1014" s="104"/>
    </row>
    <row r="1015" spans="1:18" ht="15" x14ac:dyDescent="0.25">
      <c r="A1015" s="141" t="s">
        <v>148</v>
      </c>
      <c r="B1015" s="141" t="s">
        <v>335</v>
      </c>
      <c r="C1015" s="141" t="s">
        <v>217</v>
      </c>
      <c r="D1015" s="142" t="s">
        <v>242</v>
      </c>
      <c r="E1015" s="158" t="s">
        <v>381</v>
      </c>
      <c r="F1015" s="142" t="s">
        <v>142</v>
      </c>
      <c r="G1015" s="144">
        <v>109901</v>
      </c>
      <c r="H1015" s="141" t="s">
        <v>102</v>
      </c>
      <c r="I1015" s="141" t="s">
        <v>276</v>
      </c>
      <c r="J1015" s="159" t="s">
        <v>248</v>
      </c>
      <c r="K1015" s="160">
        <v>24210</v>
      </c>
      <c r="L1015" s="141"/>
      <c r="M1015" s="161">
        <v>36348.49</v>
      </c>
      <c r="N1015" s="161">
        <v>0</v>
      </c>
      <c r="O1015" s="161">
        <v>0</v>
      </c>
      <c r="P1015" s="161">
        <v>0</v>
      </c>
      <c r="Q1015" s="104">
        <f t="shared" si="54"/>
        <v>36348.49</v>
      </c>
      <c r="R1015" s="104"/>
    </row>
    <row r="1016" spans="1:18" ht="15" x14ac:dyDescent="0.25">
      <c r="A1016" s="141" t="s">
        <v>148</v>
      </c>
      <c r="B1016" s="141" t="s">
        <v>335</v>
      </c>
      <c r="C1016" s="141" t="s">
        <v>217</v>
      </c>
      <c r="D1016" s="142" t="s">
        <v>242</v>
      </c>
      <c r="E1016" s="158" t="s">
        <v>381</v>
      </c>
      <c r="F1016" s="142" t="s">
        <v>142</v>
      </c>
      <c r="G1016" s="144">
        <v>109901</v>
      </c>
      <c r="H1016" s="141" t="s">
        <v>102</v>
      </c>
      <c r="I1016" s="141" t="s">
        <v>276</v>
      </c>
      <c r="J1016" s="159" t="s">
        <v>248</v>
      </c>
      <c r="K1016" s="160">
        <v>24212</v>
      </c>
      <c r="L1016" s="141"/>
      <c r="M1016" s="161">
        <v>11423.82</v>
      </c>
      <c r="N1016" s="161">
        <v>0</v>
      </c>
      <c r="O1016" s="161">
        <v>0</v>
      </c>
      <c r="P1016" s="161">
        <v>0</v>
      </c>
      <c r="Q1016" s="104">
        <f t="shared" si="54"/>
        <v>11423.82</v>
      </c>
      <c r="R1016" s="104"/>
    </row>
    <row r="1017" spans="1:18" ht="15" x14ac:dyDescent="0.25">
      <c r="A1017" s="141" t="s">
        <v>148</v>
      </c>
      <c r="B1017" s="141" t="s">
        <v>335</v>
      </c>
      <c r="C1017" s="141" t="s">
        <v>217</v>
      </c>
      <c r="D1017" s="142" t="s">
        <v>242</v>
      </c>
      <c r="E1017" s="158" t="s">
        <v>381</v>
      </c>
      <c r="F1017" s="142" t="s">
        <v>142</v>
      </c>
      <c r="G1017" s="144">
        <v>109901</v>
      </c>
      <c r="H1017" s="141" t="s">
        <v>102</v>
      </c>
      <c r="I1017" s="141" t="s">
        <v>276</v>
      </c>
      <c r="J1017" s="159" t="s">
        <v>248</v>
      </c>
      <c r="K1017" s="160">
        <v>24213</v>
      </c>
      <c r="L1017" s="141"/>
      <c r="M1017" s="161">
        <v>33752.17</v>
      </c>
      <c r="N1017" s="161">
        <v>0</v>
      </c>
      <c r="O1017" s="161">
        <v>0</v>
      </c>
      <c r="P1017" s="161">
        <v>0</v>
      </c>
      <c r="Q1017" s="104">
        <f t="shared" si="54"/>
        <v>33752.17</v>
      </c>
      <c r="R1017" s="104"/>
    </row>
    <row r="1018" spans="1:18" ht="15" x14ac:dyDescent="0.25">
      <c r="A1018" s="141" t="s">
        <v>148</v>
      </c>
      <c r="B1018" s="141" t="s">
        <v>335</v>
      </c>
      <c r="C1018" s="141" t="s">
        <v>217</v>
      </c>
      <c r="D1018" s="142" t="s">
        <v>242</v>
      </c>
      <c r="E1018" s="158" t="s">
        <v>381</v>
      </c>
      <c r="F1018" s="142" t="s">
        <v>142</v>
      </c>
      <c r="G1018" s="144">
        <v>109901</v>
      </c>
      <c r="H1018" s="141" t="s">
        <v>102</v>
      </c>
      <c r="I1018" s="141" t="s">
        <v>276</v>
      </c>
      <c r="J1018" s="159" t="s">
        <v>248</v>
      </c>
      <c r="K1018" s="160">
        <v>24214</v>
      </c>
      <c r="L1018" s="141"/>
      <c r="M1018" s="161">
        <v>27521</v>
      </c>
      <c r="N1018" s="161">
        <v>0</v>
      </c>
      <c r="O1018" s="161">
        <v>0</v>
      </c>
      <c r="P1018" s="161">
        <v>0</v>
      </c>
      <c r="Q1018" s="104">
        <f t="shared" si="54"/>
        <v>27521</v>
      </c>
      <c r="R1018" s="104"/>
    </row>
    <row r="1019" spans="1:18" ht="15" x14ac:dyDescent="0.25">
      <c r="A1019" s="141" t="s">
        <v>148</v>
      </c>
      <c r="B1019" s="141" t="s">
        <v>335</v>
      </c>
      <c r="C1019" s="141" t="s">
        <v>217</v>
      </c>
      <c r="D1019" s="142" t="s">
        <v>242</v>
      </c>
      <c r="E1019" s="158" t="s">
        <v>381</v>
      </c>
      <c r="F1019" s="142" t="s">
        <v>142</v>
      </c>
      <c r="G1019" s="144">
        <v>109901</v>
      </c>
      <c r="H1019" s="141" t="s">
        <v>102</v>
      </c>
      <c r="I1019" s="141" t="s">
        <v>276</v>
      </c>
      <c r="J1019" s="159" t="s">
        <v>248</v>
      </c>
      <c r="K1019" s="160">
        <v>24220</v>
      </c>
      <c r="L1019" s="141"/>
      <c r="M1019" s="161">
        <v>23366.880000000001</v>
      </c>
      <c r="N1019" s="161">
        <v>0</v>
      </c>
      <c r="O1019" s="161">
        <v>0</v>
      </c>
      <c r="P1019" s="161">
        <v>0</v>
      </c>
      <c r="Q1019" s="104">
        <f t="shared" si="54"/>
        <v>23366.880000000001</v>
      </c>
      <c r="R1019" s="104"/>
    </row>
    <row r="1020" spans="1:18" ht="15" x14ac:dyDescent="0.25">
      <c r="A1020" s="141" t="s">
        <v>148</v>
      </c>
      <c r="B1020" s="141" t="s">
        <v>335</v>
      </c>
      <c r="C1020" s="141" t="s">
        <v>217</v>
      </c>
      <c r="D1020" s="142" t="s">
        <v>242</v>
      </c>
      <c r="E1020" s="158" t="s">
        <v>381</v>
      </c>
      <c r="F1020" s="142" t="s">
        <v>142</v>
      </c>
      <c r="G1020" s="144">
        <v>109901</v>
      </c>
      <c r="H1020" s="141" t="s">
        <v>102</v>
      </c>
      <c r="I1020" s="141" t="s">
        <v>276</v>
      </c>
      <c r="J1020" s="159" t="s">
        <v>248</v>
      </c>
      <c r="K1020" s="160">
        <v>24221</v>
      </c>
      <c r="L1020" s="141"/>
      <c r="M1020" s="161">
        <v>28559.53</v>
      </c>
      <c r="N1020" s="161">
        <v>0</v>
      </c>
      <c r="O1020" s="161">
        <v>0</v>
      </c>
      <c r="P1020" s="161">
        <v>0</v>
      </c>
      <c r="Q1020" s="104">
        <f t="shared" si="54"/>
        <v>28559.53</v>
      </c>
      <c r="R1020" s="104"/>
    </row>
    <row r="1021" spans="1:18" ht="15" x14ac:dyDescent="0.25">
      <c r="A1021" s="141" t="s">
        <v>148</v>
      </c>
      <c r="B1021" s="141" t="s">
        <v>335</v>
      </c>
      <c r="C1021" s="141" t="s">
        <v>217</v>
      </c>
      <c r="D1021" s="142" t="s">
        <v>242</v>
      </c>
      <c r="E1021" s="158" t="s">
        <v>381</v>
      </c>
      <c r="F1021" s="142" t="s">
        <v>142</v>
      </c>
      <c r="G1021" s="144">
        <v>109901</v>
      </c>
      <c r="H1021" s="141" t="s">
        <v>102</v>
      </c>
      <c r="I1021" s="141" t="s">
        <v>276</v>
      </c>
      <c r="J1021" s="159" t="s">
        <v>248</v>
      </c>
      <c r="K1021" s="160">
        <v>24222</v>
      </c>
      <c r="L1021" s="141"/>
      <c r="M1021" s="161">
        <v>54522.74</v>
      </c>
      <c r="N1021" s="161">
        <v>0</v>
      </c>
      <c r="O1021" s="161">
        <v>0</v>
      </c>
      <c r="P1021" s="161">
        <v>0</v>
      </c>
      <c r="Q1021" s="104">
        <f t="shared" si="54"/>
        <v>54522.74</v>
      </c>
      <c r="R1021" s="104"/>
    </row>
    <row r="1022" spans="1:18" ht="15" x14ac:dyDescent="0.25">
      <c r="A1022" s="141" t="s">
        <v>148</v>
      </c>
      <c r="B1022" s="141" t="s">
        <v>335</v>
      </c>
      <c r="C1022" s="141" t="s">
        <v>217</v>
      </c>
      <c r="D1022" s="142" t="s">
        <v>242</v>
      </c>
      <c r="E1022" s="158" t="s">
        <v>381</v>
      </c>
      <c r="F1022" s="142" t="s">
        <v>142</v>
      </c>
      <c r="G1022" s="144">
        <v>109901</v>
      </c>
      <c r="H1022" s="141" t="s">
        <v>102</v>
      </c>
      <c r="I1022" s="141" t="s">
        <v>276</v>
      </c>
      <c r="J1022" s="159" t="s">
        <v>248</v>
      </c>
      <c r="K1022" s="160">
        <v>24264</v>
      </c>
      <c r="L1022" s="141"/>
      <c r="M1022" s="161">
        <v>28310.28</v>
      </c>
      <c r="N1022" s="161">
        <v>0</v>
      </c>
      <c r="O1022" s="161">
        <v>0</v>
      </c>
      <c r="P1022" s="161">
        <v>0</v>
      </c>
      <c r="Q1022" s="104">
        <f t="shared" si="54"/>
        <v>28310.28</v>
      </c>
      <c r="R1022" s="104"/>
    </row>
    <row r="1023" spans="1:18" ht="15" x14ac:dyDescent="0.25">
      <c r="A1023" s="141" t="s">
        <v>148</v>
      </c>
      <c r="B1023" s="141" t="s">
        <v>335</v>
      </c>
      <c r="C1023" s="141" t="s">
        <v>217</v>
      </c>
      <c r="D1023" s="142" t="s">
        <v>242</v>
      </c>
      <c r="E1023" s="158" t="s">
        <v>381</v>
      </c>
      <c r="F1023" s="142" t="s">
        <v>142</v>
      </c>
      <c r="G1023" s="144">
        <v>109901</v>
      </c>
      <c r="H1023" s="141" t="s">
        <v>102</v>
      </c>
      <c r="I1023" s="141" t="s">
        <v>276</v>
      </c>
      <c r="J1023" s="159" t="s">
        <v>248</v>
      </c>
      <c r="K1023" s="160">
        <v>24265</v>
      </c>
      <c r="L1023" s="141"/>
      <c r="M1023" s="161">
        <v>46733.77</v>
      </c>
      <c r="N1023" s="161">
        <v>0</v>
      </c>
      <c r="O1023" s="161">
        <v>0</v>
      </c>
      <c r="P1023" s="161">
        <v>0</v>
      </c>
      <c r="Q1023" s="104">
        <f t="shared" si="54"/>
        <v>46733.77</v>
      </c>
      <c r="R1023" s="104"/>
    </row>
    <row r="1024" spans="1:18" ht="15" x14ac:dyDescent="0.25">
      <c r="A1024" s="141" t="s">
        <v>148</v>
      </c>
      <c r="B1024" s="141" t="s">
        <v>335</v>
      </c>
      <c r="C1024" s="141" t="s">
        <v>217</v>
      </c>
      <c r="D1024" s="142" t="s">
        <v>242</v>
      </c>
      <c r="E1024" s="158" t="s">
        <v>381</v>
      </c>
      <c r="F1024" s="142" t="s">
        <v>142</v>
      </c>
      <c r="G1024" s="144">
        <v>109901</v>
      </c>
      <c r="H1024" s="141" t="s">
        <v>102</v>
      </c>
      <c r="I1024" s="141" t="s">
        <v>276</v>
      </c>
      <c r="J1024" s="159" t="s">
        <v>248</v>
      </c>
      <c r="K1024" s="160">
        <v>24266</v>
      </c>
      <c r="L1024" s="141"/>
      <c r="M1024" s="161">
        <v>18174.25</v>
      </c>
      <c r="N1024" s="161">
        <v>0</v>
      </c>
      <c r="O1024" s="161">
        <v>0</v>
      </c>
      <c r="P1024" s="161">
        <v>0</v>
      </c>
      <c r="Q1024" s="104">
        <f t="shared" si="54"/>
        <v>18174.25</v>
      </c>
      <c r="R1024" s="104"/>
    </row>
    <row r="1025" spans="1:19" ht="15" x14ac:dyDescent="0.25">
      <c r="A1025" s="141" t="s">
        <v>148</v>
      </c>
      <c r="B1025" s="141" t="s">
        <v>335</v>
      </c>
      <c r="C1025" s="141" t="s">
        <v>217</v>
      </c>
      <c r="D1025" s="142" t="s">
        <v>242</v>
      </c>
      <c r="E1025" s="158" t="s">
        <v>381</v>
      </c>
      <c r="F1025" s="142" t="s">
        <v>142</v>
      </c>
      <c r="G1025" s="144">
        <v>109901</v>
      </c>
      <c r="H1025" s="141" t="s">
        <v>102</v>
      </c>
      <c r="I1025" s="141" t="s">
        <v>276</v>
      </c>
      <c r="J1025" s="159" t="s">
        <v>248</v>
      </c>
      <c r="K1025" s="160">
        <v>24267</v>
      </c>
      <c r="L1025" s="141"/>
      <c r="M1025" s="161">
        <v>18174.25</v>
      </c>
      <c r="N1025" s="161">
        <v>0</v>
      </c>
      <c r="O1025" s="161">
        <v>0</v>
      </c>
      <c r="P1025" s="161">
        <v>0</v>
      </c>
      <c r="Q1025" s="104">
        <f t="shared" si="54"/>
        <v>18174.25</v>
      </c>
      <c r="R1025" s="104"/>
    </row>
    <row r="1026" spans="1:19" ht="15" x14ac:dyDescent="0.25">
      <c r="A1026" s="141" t="s">
        <v>148</v>
      </c>
      <c r="B1026" s="141" t="s">
        <v>335</v>
      </c>
      <c r="C1026" s="141" t="s">
        <v>217</v>
      </c>
      <c r="D1026" s="142" t="s">
        <v>242</v>
      </c>
      <c r="E1026" s="158" t="s">
        <v>381</v>
      </c>
      <c r="F1026" s="142" t="s">
        <v>142</v>
      </c>
      <c r="G1026" s="144">
        <v>109901</v>
      </c>
      <c r="H1026" s="141" t="s">
        <v>102</v>
      </c>
      <c r="I1026" s="141" t="s">
        <v>276</v>
      </c>
      <c r="J1026" s="159" t="s">
        <v>248</v>
      </c>
      <c r="K1026" s="160">
        <v>24268</v>
      </c>
      <c r="L1026" s="141"/>
      <c r="M1026" s="161">
        <v>27521</v>
      </c>
      <c r="N1026" s="161">
        <v>0</v>
      </c>
      <c r="O1026" s="161">
        <v>0</v>
      </c>
      <c r="P1026" s="161">
        <v>0</v>
      </c>
      <c r="Q1026" s="104">
        <f t="shared" si="54"/>
        <v>27521</v>
      </c>
      <c r="R1026" s="104"/>
    </row>
    <row r="1027" spans="1:19" ht="15" x14ac:dyDescent="0.25">
      <c r="A1027" s="141" t="s">
        <v>148</v>
      </c>
      <c r="B1027" s="141" t="s">
        <v>335</v>
      </c>
      <c r="C1027" s="141" t="s">
        <v>217</v>
      </c>
      <c r="D1027" s="142" t="s">
        <v>242</v>
      </c>
      <c r="E1027" s="158" t="s">
        <v>381</v>
      </c>
      <c r="F1027" s="142" t="s">
        <v>142</v>
      </c>
      <c r="G1027" s="144">
        <v>109901</v>
      </c>
      <c r="H1027" s="141" t="s">
        <v>102</v>
      </c>
      <c r="I1027" s="141" t="s">
        <v>276</v>
      </c>
      <c r="J1027" s="159" t="s">
        <v>248</v>
      </c>
      <c r="K1027" s="160">
        <v>24269</v>
      </c>
      <c r="L1027" s="141"/>
      <c r="M1027" s="161">
        <v>22328.36</v>
      </c>
      <c r="N1027" s="161">
        <v>0</v>
      </c>
      <c r="O1027" s="161">
        <v>0</v>
      </c>
      <c r="P1027" s="161">
        <v>0</v>
      </c>
      <c r="Q1027" s="104">
        <f t="shared" si="54"/>
        <v>22328.36</v>
      </c>
      <c r="R1027" s="104"/>
    </row>
    <row r="1028" spans="1:19" ht="15" x14ac:dyDescent="0.25">
      <c r="A1028" s="141" t="s">
        <v>148</v>
      </c>
      <c r="B1028" s="141" t="s">
        <v>335</v>
      </c>
      <c r="C1028" s="141" t="s">
        <v>217</v>
      </c>
      <c r="D1028" s="142" t="s">
        <v>242</v>
      </c>
      <c r="E1028" s="158" t="s">
        <v>381</v>
      </c>
      <c r="F1028" s="142" t="s">
        <v>142</v>
      </c>
      <c r="G1028" s="144">
        <v>109901</v>
      </c>
      <c r="H1028" s="141" t="s">
        <v>102</v>
      </c>
      <c r="I1028" s="141" t="s">
        <v>276</v>
      </c>
      <c r="J1028" s="159" t="s">
        <v>248</v>
      </c>
      <c r="K1028" s="160">
        <v>24270</v>
      </c>
      <c r="L1028" s="141"/>
      <c r="M1028" s="161">
        <v>23366.880000000001</v>
      </c>
      <c r="N1028" s="161">
        <v>0</v>
      </c>
      <c r="O1028" s="161">
        <v>0</v>
      </c>
      <c r="P1028" s="161">
        <v>0</v>
      </c>
      <c r="Q1028" s="104">
        <f t="shared" si="54"/>
        <v>23366.880000000001</v>
      </c>
      <c r="R1028" s="104"/>
    </row>
    <row r="1029" spans="1:19" ht="15" x14ac:dyDescent="0.25">
      <c r="A1029" s="141" t="s">
        <v>148</v>
      </c>
      <c r="B1029" s="141" t="s">
        <v>335</v>
      </c>
      <c r="C1029" s="141" t="s">
        <v>217</v>
      </c>
      <c r="D1029" s="142" t="s">
        <v>242</v>
      </c>
      <c r="E1029" s="158" t="s">
        <v>381</v>
      </c>
      <c r="F1029" s="142" t="s">
        <v>142</v>
      </c>
      <c r="G1029" s="144">
        <v>109901</v>
      </c>
      <c r="H1029" s="141" t="s">
        <v>102</v>
      </c>
      <c r="I1029" s="141" t="s">
        <v>276</v>
      </c>
      <c r="J1029" s="159" t="s">
        <v>248</v>
      </c>
      <c r="K1029" s="160">
        <v>24271</v>
      </c>
      <c r="L1029" s="141"/>
      <c r="M1029" s="161">
        <v>62830.96</v>
      </c>
      <c r="N1029" s="161">
        <v>0</v>
      </c>
      <c r="O1029" s="161">
        <v>0</v>
      </c>
      <c r="P1029" s="161">
        <v>0</v>
      </c>
      <c r="Q1029" s="104">
        <f t="shared" si="54"/>
        <v>62830.96</v>
      </c>
      <c r="R1029" s="104"/>
    </row>
    <row r="1030" spans="1:19" ht="15" x14ac:dyDescent="0.25">
      <c r="A1030" s="141" t="s">
        <v>148</v>
      </c>
      <c r="B1030" s="141" t="s">
        <v>335</v>
      </c>
      <c r="C1030" s="141" t="s">
        <v>217</v>
      </c>
      <c r="D1030" s="142" t="s">
        <v>242</v>
      </c>
      <c r="E1030" s="158" t="s">
        <v>381</v>
      </c>
      <c r="F1030" s="142" t="s">
        <v>142</v>
      </c>
      <c r="G1030" s="144">
        <v>109901</v>
      </c>
      <c r="H1030" s="141" t="s">
        <v>102</v>
      </c>
      <c r="I1030" s="141" t="s">
        <v>276</v>
      </c>
      <c r="J1030" s="159" t="s">
        <v>248</v>
      </c>
      <c r="K1030" s="160">
        <v>24272</v>
      </c>
      <c r="L1030" s="141"/>
      <c r="M1030" s="161">
        <v>30117.32</v>
      </c>
      <c r="N1030" s="161">
        <v>0</v>
      </c>
      <c r="O1030" s="161">
        <v>0</v>
      </c>
      <c r="P1030" s="161">
        <v>0</v>
      </c>
      <c r="Q1030" s="104">
        <f t="shared" si="54"/>
        <v>30117.32</v>
      </c>
      <c r="R1030" s="104"/>
    </row>
    <row r="1031" spans="1:19" ht="15" x14ac:dyDescent="0.25">
      <c r="A1031" s="141" t="s">
        <v>148</v>
      </c>
      <c r="B1031" s="141" t="s">
        <v>335</v>
      </c>
      <c r="C1031" s="141" t="s">
        <v>217</v>
      </c>
      <c r="D1031" s="142" t="s">
        <v>242</v>
      </c>
      <c r="E1031" s="158" t="s">
        <v>381</v>
      </c>
      <c r="F1031" s="142" t="s">
        <v>142</v>
      </c>
      <c r="G1031" s="144">
        <v>109901</v>
      </c>
      <c r="H1031" s="141" t="s">
        <v>102</v>
      </c>
      <c r="I1031" s="141" t="s">
        <v>276</v>
      </c>
      <c r="J1031" s="159" t="s">
        <v>248</v>
      </c>
      <c r="K1031" s="160">
        <v>24273</v>
      </c>
      <c r="L1031" s="141"/>
      <c r="M1031" s="161">
        <v>31176.81</v>
      </c>
      <c r="N1031" s="161">
        <v>0</v>
      </c>
      <c r="O1031" s="161">
        <v>0</v>
      </c>
      <c r="P1031" s="161">
        <v>0</v>
      </c>
      <c r="Q1031" s="104">
        <f t="shared" si="54"/>
        <v>31176.81</v>
      </c>
      <c r="R1031" s="104"/>
    </row>
    <row r="1032" spans="1:19" ht="15" x14ac:dyDescent="0.25">
      <c r="A1032" s="141" t="s">
        <v>148</v>
      </c>
      <c r="B1032" s="141" t="s">
        <v>335</v>
      </c>
      <c r="C1032" s="141" t="s">
        <v>217</v>
      </c>
      <c r="D1032" s="142" t="s">
        <v>242</v>
      </c>
      <c r="E1032" s="158" t="s">
        <v>381</v>
      </c>
      <c r="F1032" s="142" t="s">
        <v>142</v>
      </c>
      <c r="G1032" s="144">
        <v>109901</v>
      </c>
      <c r="H1032" s="141" t="s">
        <v>102</v>
      </c>
      <c r="I1032" s="141" t="s">
        <v>276</v>
      </c>
      <c r="J1032" s="159" t="s">
        <v>248</v>
      </c>
      <c r="K1032" s="160">
        <v>24274</v>
      </c>
      <c r="L1032" s="141"/>
      <c r="M1032" s="161">
        <v>45695.24</v>
      </c>
      <c r="N1032" s="161">
        <v>0</v>
      </c>
      <c r="O1032" s="161">
        <v>0</v>
      </c>
      <c r="P1032" s="161">
        <v>0</v>
      </c>
      <c r="Q1032" s="104">
        <f t="shared" ref="Q1032:Q1095" si="57">M1032-P1032</f>
        <v>45695.24</v>
      </c>
      <c r="R1032" s="104"/>
    </row>
    <row r="1033" spans="1:19" ht="15" x14ac:dyDescent="0.25">
      <c r="A1033" s="141" t="s">
        <v>148</v>
      </c>
      <c r="B1033" s="141" t="s">
        <v>335</v>
      </c>
      <c r="C1033" s="141" t="s">
        <v>217</v>
      </c>
      <c r="D1033" s="142" t="s">
        <v>242</v>
      </c>
      <c r="E1033" s="158" t="s">
        <v>381</v>
      </c>
      <c r="F1033" s="142" t="s">
        <v>142</v>
      </c>
      <c r="G1033" s="144">
        <v>109901</v>
      </c>
      <c r="H1033" s="141" t="s">
        <v>102</v>
      </c>
      <c r="I1033" s="141" t="s">
        <v>276</v>
      </c>
      <c r="J1033" s="159" t="s">
        <v>248</v>
      </c>
      <c r="K1033" s="160">
        <v>24277</v>
      </c>
      <c r="L1033" s="141"/>
      <c r="M1033" s="161">
        <v>19732.03</v>
      </c>
      <c r="N1033" s="161">
        <v>0</v>
      </c>
      <c r="O1033" s="161">
        <v>0</v>
      </c>
      <c r="P1033" s="161">
        <v>0</v>
      </c>
      <c r="Q1033" s="104">
        <f t="shared" si="57"/>
        <v>19732.03</v>
      </c>
      <c r="R1033" s="104"/>
    </row>
    <row r="1034" spans="1:19" ht="15" x14ac:dyDescent="0.25">
      <c r="A1034" s="141" t="s">
        <v>148</v>
      </c>
      <c r="B1034" s="141" t="s">
        <v>382</v>
      </c>
      <c r="C1034" s="141" t="s">
        <v>383</v>
      </c>
      <c r="D1034" s="142" t="s">
        <v>242</v>
      </c>
      <c r="E1034" s="158" t="s">
        <v>384</v>
      </c>
      <c r="F1034" s="142" t="s">
        <v>142</v>
      </c>
      <c r="G1034" s="141">
        <v>101001</v>
      </c>
      <c r="H1034" s="141" t="s">
        <v>104</v>
      </c>
      <c r="I1034" s="141" t="s">
        <v>276</v>
      </c>
      <c r="J1034" s="159" t="s">
        <v>248</v>
      </c>
      <c r="K1034" s="160">
        <v>23203</v>
      </c>
      <c r="L1034" s="141"/>
      <c r="M1034" s="161">
        <v>122.48</v>
      </c>
      <c r="N1034" s="161">
        <v>0</v>
      </c>
      <c r="O1034" s="161">
        <v>0</v>
      </c>
      <c r="P1034" s="161">
        <v>0</v>
      </c>
      <c r="Q1034" s="104">
        <f t="shared" si="57"/>
        <v>122.48</v>
      </c>
      <c r="R1034" s="104"/>
      <c r="S1034" s="66">
        <f t="shared" ref="S1034:S1096" si="58">M1034*$S$7*1.141</f>
        <v>13.974968000000002</v>
      </c>
    </row>
    <row r="1035" spans="1:19" ht="15" x14ac:dyDescent="0.25">
      <c r="A1035" s="141" t="s">
        <v>148</v>
      </c>
      <c r="B1035" s="141" t="s">
        <v>382</v>
      </c>
      <c r="C1035" s="141" t="s">
        <v>383</v>
      </c>
      <c r="D1035" s="142" t="s">
        <v>242</v>
      </c>
      <c r="E1035" s="158" t="s">
        <v>384</v>
      </c>
      <c r="F1035" s="142" t="s">
        <v>142</v>
      </c>
      <c r="G1035" s="141">
        <v>102001</v>
      </c>
      <c r="H1035" s="141" t="s">
        <v>143</v>
      </c>
      <c r="I1035" s="141" t="s">
        <v>276</v>
      </c>
      <c r="J1035" s="159" t="s">
        <v>248</v>
      </c>
      <c r="K1035" s="160">
        <v>23203</v>
      </c>
      <c r="L1035" s="141"/>
      <c r="M1035" s="161">
        <v>120.01</v>
      </c>
      <c r="N1035" s="161">
        <v>0</v>
      </c>
      <c r="O1035" s="161">
        <v>0</v>
      </c>
      <c r="P1035" s="161">
        <v>0</v>
      </c>
      <c r="Q1035" s="104">
        <f t="shared" si="57"/>
        <v>120.01</v>
      </c>
      <c r="R1035" s="104"/>
      <c r="S1035" s="66">
        <f t="shared" si="58"/>
        <v>13.693141000000002</v>
      </c>
    </row>
    <row r="1036" spans="1:19" ht="15" x14ac:dyDescent="0.25">
      <c r="A1036" s="141" t="s">
        <v>148</v>
      </c>
      <c r="B1036" s="141" t="s">
        <v>382</v>
      </c>
      <c r="C1036" s="141" t="s">
        <v>383</v>
      </c>
      <c r="D1036" s="142" t="s">
        <v>242</v>
      </c>
      <c r="E1036" s="158" t="s">
        <v>384</v>
      </c>
      <c r="F1036" s="142" t="s">
        <v>142</v>
      </c>
      <c r="G1036" s="141">
        <v>104000</v>
      </c>
      <c r="H1036" s="141" t="s">
        <v>110</v>
      </c>
      <c r="I1036" s="141" t="s">
        <v>276</v>
      </c>
      <c r="J1036" s="159" t="s">
        <v>248</v>
      </c>
      <c r="K1036" s="160">
        <v>23203</v>
      </c>
      <c r="L1036" s="141"/>
      <c r="M1036" s="161">
        <v>576.42999999999995</v>
      </c>
      <c r="N1036" s="161">
        <v>0</v>
      </c>
      <c r="O1036" s="161">
        <v>0</v>
      </c>
      <c r="P1036" s="161">
        <v>0</v>
      </c>
      <c r="Q1036" s="104">
        <f t="shared" si="57"/>
        <v>576.42999999999995</v>
      </c>
      <c r="R1036" s="104"/>
      <c r="S1036" s="66">
        <f t="shared" si="58"/>
        <v>65.770662999999999</v>
      </c>
    </row>
    <row r="1037" spans="1:19" ht="15" x14ac:dyDescent="0.25">
      <c r="A1037" s="141" t="s">
        <v>148</v>
      </c>
      <c r="B1037" s="141" t="s">
        <v>382</v>
      </c>
      <c r="C1037" s="141" t="s">
        <v>383</v>
      </c>
      <c r="D1037" s="142" t="s">
        <v>242</v>
      </c>
      <c r="E1037" s="158" t="s">
        <v>384</v>
      </c>
      <c r="F1037" s="142" t="s">
        <v>142</v>
      </c>
      <c r="G1037" s="144">
        <v>109901</v>
      </c>
      <c r="H1037" s="141" t="s">
        <v>102</v>
      </c>
      <c r="I1037" s="141" t="s">
        <v>276</v>
      </c>
      <c r="J1037" s="159" t="s">
        <v>248</v>
      </c>
      <c r="K1037" s="160">
        <v>23203</v>
      </c>
      <c r="L1037" s="141"/>
      <c r="M1037" s="161">
        <v>115.47</v>
      </c>
      <c r="N1037" s="161">
        <v>0</v>
      </c>
      <c r="O1037" s="161">
        <v>0</v>
      </c>
      <c r="P1037" s="161">
        <v>0</v>
      </c>
      <c r="Q1037" s="104">
        <f t="shared" si="57"/>
        <v>115.47</v>
      </c>
      <c r="R1037" s="104"/>
    </row>
    <row r="1038" spans="1:19" ht="15" x14ac:dyDescent="0.25">
      <c r="A1038" s="141" t="s">
        <v>148</v>
      </c>
      <c r="B1038" s="141"/>
      <c r="C1038" s="141"/>
      <c r="D1038" s="142"/>
      <c r="E1038" s="142"/>
      <c r="F1038" s="142"/>
      <c r="G1038" s="141"/>
      <c r="H1038" s="141"/>
      <c r="I1038" s="141"/>
      <c r="J1038" s="141"/>
      <c r="K1038" s="141"/>
      <c r="L1038" s="142"/>
      <c r="M1038" s="143"/>
      <c r="N1038" s="143"/>
      <c r="O1038" s="143"/>
      <c r="P1038" s="143"/>
      <c r="Q1038" s="104">
        <f t="shared" si="57"/>
        <v>0</v>
      </c>
      <c r="R1038" s="104"/>
      <c r="S1038" s="66">
        <f t="shared" si="58"/>
        <v>0</v>
      </c>
    </row>
    <row r="1039" spans="1:19" ht="15" x14ac:dyDescent="0.25">
      <c r="A1039" s="141" t="s">
        <v>148</v>
      </c>
      <c r="B1039" s="141"/>
      <c r="C1039" s="141"/>
      <c r="D1039" s="142"/>
      <c r="E1039" s="142"/>
      <c r="F1039" s="142"/>
      <c r="G1039" s="141"/>
      <c r="H1039" s="141"/>
      <c r="I1039" s="141"/>
      <c r="J1039" s="141"/>
      <c r="K1039" s="141"/>
      <c r="L1039" s="142"/>
      <c r="M1039" s="143"/>
      <c r="N1039" s="143"/>
      <c r="O1039" s="143"/>
      <c r="P1039" s="143"/>
      <c r="Q1039" s="104">
        <f t="shared" si="57"/>
        <v>0</v>
      </c>
      <c r="R1039" s="104"/>
      <c r="S1039" s="66">
        <f t="shared" si="58"/>
        <v>0</v>
      </c>
    </row>
    <row r="1040" spans="1:19" ht="15" x14ac:dyDescent="0.25">
      <c r="A1040" s="141" t="s">
        <v>148</v>
      </c>
      <c r="B1040" s="141"/>
      <c r="C1040" s="141"/>
      <c r="D1040" s="142"/>
      <c r="E1040" s="142"/>
      <c r="F1040" s="142"/>
      <c r="G1040" s="141"/>
      <c r="H1040" s="141"/>
      <c r="I1040" s="141"/>
      <c r="J1040" s="141"/>
      <c r="K1040" s="141"/>
      <c r="L1040" s="142"/>
      <c r="M1040" s="143"/>
      <c r="N1040" s="143"/>
      <c r="O1040" s="143"/>
      <c r="P1040" s="143"/>
      <c r="Q1040" s="104">
        <f t="shared" si="57"/>
        <v>0</v>
      </c>
      <c r="R1040" s="104"/>
      <c r="S1040" s="66">
        <f t="shared" si="58"/>
        <v>0</v>
      </c>
    </row>
    <row r="1041" spans="1:19" ht="15" x14ac:dyDescent="0.25">
      <c r="A1041" s="141" t="s">
        <v>148</v>
      </c>
      <c r="B1041" s="141"/>
      <c r="C1041" s="141"/>
      <c r="D1041" s="142"/>
      <c r="E1041" s="142"/>
      <c r="F1041" s="142"/>
      <c r="G1041" s="141"/>
      <c r="H1041" s="141"/>
      <c r="I1041" s="141"/>
      <c r="J1041" s="141"/>
      <c r="K1041" s="141"/>
      <c r="L1041" s="142"/>
      <c r="M1041" s="143"/>
      <c r="N1041" s="143"/>
      <c r="O1041" s="143"/>
      <c r="P1041" s="143"/>
      <c r="Q1041" s="104">
        <f t="shared" si="57"/>
        <v>0</v>
      </c>
      <c r="R1041" s="129"/>
      <c r="S1041" s="66">
        <f t="shared" si="58"/>
        <v>0</v>
      </c>
    </row>
    <row r="1042" spans="1:19" ht="15" x14ac:dyDescent="0.25">
      <c r="A1042" s="141" t="s">
        <v>148</v>
      </c>
      <c r="B1042" s="141"/>
      <c r="C1042" s="141"/>
      <c r="D1042" s="142"/>
      <c r="E1042" s="142"/>
      <c r="F1042" s="142"/>
      <c r="G1042" s="141"/>
      <c r="H1042" s="141"/>
      <c r="I1042" s="141"/>
      <c r="J1042" s="141"/>
      <c r="K1042" s="141"/>
      <c r="L1042" s="142"/>
      <c r="M1042" s="143"/>
      <c r="N1042" s="143"/>
      <c r="O1042" s="143"/>
      <c r="P1042" s="143"/>
      <c r="Q1042" s="104">
        <f t="shared" si="57"/>
        <v>0</v>
      </c>
      <c r="R1042" s="129">
        <f t="shared" ref="R1042:R1066" si="59">M1042*-1.141</f>
        <v>0</v>
      </c>
      <c r="S1042" s="66">
        <f t="shared" si="58"/>
        <v>0</v>
      </c>
    </row>
    <row r="1043" spans="1:19" ht="15" x14ac:dyDescent="0.25">
      <c r="A1043" s="141" t="s">
        <v>148</v>
      </c>
      <c r="B1043" s="141"/>
      <c r="C1043" s="141"/>
      <c r="D1043" s="142"/>
      <c r="E1043" s="142"/>
      <c r="F1043" s="142"/>
      <c r="G1043" s="141"/>
      <c r="H1043" s="141"/>
      <c r="I1043" s="141"/>
      <c r="J1043" s="141"/>
      <c r="K1043" s="141"/>
      <c r="L1043" s="142"/>
      <c r="M1043" s="143"/>
      <c r="N1043" s="143"/>
      <c r="O1043" s="143"/>
      <c r="P1043" s="143"/>
      <c r="Q1043" s="104">
        <f t="shared" si="57"/>
        <v>0</v>
      </c>
      <c r="R1043" s="129">
        <f t="shared" si="59"/>
        <v>0</v>
      </c>
      <c r="S1043" s="66">
        <f t="shared" si="58"/>
        <v>0</v>
      </c>
    </row>
    <row r="1044" spans="1:19" ht="15" x14ac:dyDescent="0.25">
      <c r="A1044" s="141" t="s">
        <v>148</v>
      </c>
      <c r="B1044" s="141"/>
      <c r="C1044" s="141"/>
      <c r="D1044" s="142"/>
      <c r="E1044" s="142"/>
      <c r="F1044" s="142"/>
      <c r="G1044" s="141"/>
      <c r="H1044" s="141"/>
      <c r="I1044" s="141"/>
      <c r="J1044" s="141"/>
      <c r="K1044" s="141"/>
      <c r="L1044" s="142"/>
      <c r="M1044" s="143"/>
      <c r="N1044" s="143"/>
      <c r="O1044" s="143"/>
      <c r="P1044" s="143"/>
      <c r="Q1044" s="104">
        <f t="shared" si="57"/>
        <v>0</v>
      </c>
      <c r="R1044" s="129">
        <f t="shared" si="59"/>
        <v>0</v>
      </c>
      <c r="S1044" s="66">
        <f t="shared" si="58"/>
        <v>0</v>
      </c>
    </row>
    <row r="1045" spans="1:19" ht="15" x14ac:dyDescent="0.25">
      <c r="A1045" s="141" t="s">
        <v>148</v>
      </c>
      <c r="B1045" s="141"/>
      <c r="C1045" s="141"/>
      <c r="D1045" s="142"/>
      <c r="E1045" s="142"/>
      <c r="F1045" s="142"/>
      <c r="G1045" s="141"/>
      <c r="H1045" s="141"/>
      <c r="I1045" s="141"/>
      <c r="J1045" s="141"/>
      <c r="K1045" s="141"/>
      <c r="L1045" s="142"/>
      <c r="M1045" s="143"/>
      <c r="N1045" s="143"/>
      <c r="O1045" s="143"/>
      <c r="P1045" s="143"/>
      <c r="Q1045" s="104">
        <f t="shared" si="57"/>
        <v>0</v>
      </c>
      <c r="R1045" s="129">
        <f t="shared" si="59"/>
        <v>0</v>
      </c>
      <c r="S1045" s="66">
        <f t="shared" si="58"/>
        <v>0</v>
      </c>
    </row>
    <row r="1046" spans="1:19" ht="15" x14ac:dyDescent="0.25">
      <c r="A1046" s="141" t="s">
        <v>148</v>
      </c>
      <c r="B1046" s="141"/>
      <c r="C1046" s="141"/>
      <c r="D1046" s="142"/>
      <c r="E1046" s="142"/>
      <c r="F1046" s="142"/>
      <c r="G1046" s="141"/>
      <c r="H1046" s="141"/>
      <c r="I1046" s="141"/>
      <c r="J1046" s="141"/>
      <c r="K1046" s="141"/>
      <c r="L1046" s="142"/>
      <c r="M1046" s="143"/>
      <c r="N1046" s="143"/>
      <c r="O1046" s="143"/>
      <c r="P1046" s="143"/>
      <c r="Q1046" s="104">
        <f t="shared" si="57"/>
        <v>0</v>
      </c>
      <c r="R1046" s="129">
        <f t="shared" si="59"/>
        <v>0</v>
      </c>
      <c r="S1046" s="66">
        <f t="shared" si="58"/>
        <v>0</v>
      </c>
    </row>
    <row r="1047" spans="1:19" ht="15" x14ac:dyDescent="0.25">
      <c r="A1047" s="141" t="s">
        <v>148</v>
      </c>
      <c r="B1047" s="141"/>
      <c r="C1047" s="141"/>
      <c r="D1047" s="142"/>
      <c r="E1047" s="142"/>
      <c r="F1047" s="142"/>
      <c r="G1047" s="141"/>
      <c r="H1047" s="141"/>
      <c r="I1047" s="141"/>
      <c r="J1047" s="141"/>
      <c r="K1047" s="141"/>
      <c r="L1047" s="142"/>
      <c r="M1047" s="143"/>
      <c r="N1047" s="143"/>
      <c r="O1047" s="143"/>
      <c r="P1047" s="143"/>
      <c r="Q1047" s="104">
        <f t="shared" si="57"/>
        <v>0</v>
      </c>
      <c r="R1047" s="129">
        <f t="shared" si="59"/>
        <v>0</v>
      </c>
      <c r="S1047" s="66">
        <f t="shared" si="58"/>
        <v>0</v>
      </c>
    </row>
    <row r="1048" spans="1:19" ht="15" x14ac:dyDescent="0.25">
      <c r="A1048" s="141" t="s">
        <v>148</v>
      </c>
      <c r="B1048" s="141"/>
      <c r="C1048" s="141"/>
      <c r="D1048" s="142"/>
      <c r="E1048" s="142"/>
      <c r="F1048" s="142"/>
      <c r="G1048" s="141"/>
      <c r="H1048" s="141"/>
      <c r="I1048" s="141"/>
      <c r="J1048" s="141"/>
      <c r="K1048" s="141"/>
      <c r="L1048" s="142"/>
      <c r="M1048" s="143"/>
      <c r="N1048" s="143"/>
      <c r="O1048" s="143"/>
      <c r="P1048" s="143"/>
      <c r="Q1048" s="104">
        <f t="shared" si="57"/>
        <v>0</v>
      </c>
      <c r="R1048" s="129">
        <f t="shared" si="59"/>
        <v>0</v>
      </c>
      <c r="S1048" s="66">
        <f t="shared" si="58"/>
        <v>0</v>
      </c>
    </row>
    <row r="1049" spans="1:19" ht="15" x14ac:dyDescent="0.25">
      <c r="A1049" s="141" t="s">
        <v>148</v>
      </c>
      <c r="B1049" s="141"/>
      <c r="C1049" s="141"/>
      <c r="D1049" s="142"/>
      <c r="E1049" s="142"/>
      <c r="F1049" s="142"/>
      <c r="G1049" s="141"/>
      <c r="H1049" s="141"/>
      <c r="I1049" s="141"/>
      <c r="J1049" s="141"/>
      <c r="K1049" s="141"/>
      <c r="L1049" s="142"/>
      <c r="M1049" s="143"/>
      <c r="N1049" s="143"/>
      <c r="O1049" s="143"/>
      <c r="P1049" s="143"/>
      <c r="Q1049" s="104">
        <f t="shared" si="57"/>
        <v>0</v>
      </c>
      <c r="R1049" s="129">
        <f t="shared" si="59"/>
        <v>0</v>
      </c>
      <c r="S1049" s="66">
        <f t="shared" si="58"/>
        <v>0</v>
      </c>
    </row>
    <row r="1050" spans="1:19" ht="15" x14ac:dyDescent="0.25">
      <c r="A1050" s="141" t="s">
        <v>148</v>
      </c>
      <c r="B1050" s="141"/>
      <c r="C1050" s="141"/>
      <c r="D1050" s="142"/>
      <c r="E1050" s="142"/>
      <c r="F1050" s="142"/>
      <c r="G1050" s="141"/>
      <c r="H1050" s="141"/>
      <c r="I1050" s="141"/>
      <c r="J1050" s="141"/>
      <c r="K1050" s="141"/>
      <c r="L1050" s="142"/>
      <c r="M1050" s="143"/>
      <c r="N1050" s="143"/>
      <c r="O1050" s="143"/>
      <c r="P1050" s="143"/>
      <c r="Q1050" s="104">
        <f t="shared" si="57"/>
        <v>0</v>
      </c>
      <c r="R1050" s="129">
        <f t="shared" si="59"/>
        <v>0</v>
      </c>
      <c r="S1050" s="66">
        <f t="shared" si="58"/>
        <v>0</v>
      </c>
    </row>
    <row r="1051" spans="1:19" ht="15" x14ac:dyDescent="0.25">
      <c r="A1051" s="141" t="s">
        <v>148</v>
      </c>
      <c r="B1051" s="141"/>
      <c r="C1051" s="141"/>
      <c r="D1051" s="142"/>
      <c r="E1051" s="142"/>
      <c r="F1051" s="142"/>
      <c r="G1051" s="141"/>
      <c r="H1051" s="141"/>
      <c r="I1051" s="141"/>
      <c r="J1051" s="141"/>
      <c r="K1051" s="141"/>
      <c r="L1051" s="142"/>
      <c r="M1051" s="143"/>
      <c r="N1051" s="143"/>
      <c r="O1051" s="143"/>
      <c r="P1051" s="143"/>
      <c r="Q1051" s="104">
        <f t="shared" si="57"/>
        <v>0</v>
      </c>
      <c r="R1051" s="129">
        <f t="shared" si="59"/>
        <v>0</v>
      </c>
      <c r="S1051" s="66">
        <f t="shared" si="58"/>
        <v>0</v>
      </c>
    </row>
    <row r="1052" spans="1:19" ht="15" x14ac:dyDescent="0.25">
      <c r="A1052" s="141" t="s">
        <v>148</v>
      </c>
      <c r="B1052" s="141"/>
      <c r="C1052" s="141"/>
      <c r="D1052" s="142"/>
      <c r="E1052" s="142"/>
      <c r="F1052" s="142"/>
      <c r="G1052" s="141"/>
      <c r="H1052" s="141"/>
      <c r="I1052" s="141"/>
      <c r="J1052" s="141"/>
      <c r="K1052" s="141"/>
      <c r="L1052" s="142"/>
      <c r="M1052" s="143"/>
      <c r="N1052" s="143"/>
      <c r="O1052" s="143"/>
      <c r="P1052" s="143"/>
      <c r="Q1052" s="104">
        <f t="shared" si="57"/>
        <v>0</v>
      </c>
      <c r="R1052" s="129">
        <f t="shared" si="59"/>
        <v>0</v>
      </c>
      <c r="S1052" s="66">
        <f t="shared" si="58"/>
        <v>0</v>
      </c>
    </row>
    <row r="1053" spans="1:19" ht="15" x14ac:dyDescent="0.25">
      <c r="A1053" s="141" t="s">
        <v>148</v>
      </c>
      <c r="B1053" s="141"/>
      <c r="C1053" s="141"/>
      <c r="D1053" s="142"/>
      <c r="E1053" s="142"/>
      <c r="F1053" s="142"/>
      <c r="G1053" s="141"/>
      <c r="H1053" s="141"/>
      <c r="I1053" s="141"/>
      <c r="J1053" s="141"/>
      <c r="K1053" s="141"/>
      <c r="L1053" s="142"/>
      <c r="M1053" s="143"/>
      <c r="N1053" s="143"/>
      <c r="O1053" s="143"/>
      <c r="P1053" s="143"/>
      <c r="Q1053" s="104">
        <f t="shared" si="57"/>
        <v>0</v>
      </c>
      <c r="R1053" s="129">
        <f t="shared" si="59"/>
        <v>0</v>
      </c>
      <c r="S1053" s="66">
        <f t="shared" si="58"/>
        <v>0</v>
      </c>
    </row>
    <row r="1054" spans="1:19" ht="15" x14ac:dyDescent="0.25">
      <c r="A1054" s="141" t="s">
        <v>148</v>
      </c>
      <c r="B1054" s="141"/>
      <c r="C1054" s="141"/>
      <c r="D1054" s="142"/>
      <c r="E1054" s="142"/>
      <c r="F1054" s="142"/>
      <c r="G1054" s="141"/>
      <c r="H1054" s="141"/>
      <c r="I1054" s="141"/>
      <c r="J1054" s="141"/>
      <c r="K1054" s="141"/>
      <c r="L1054" s="142"/>
      <c r="M1054" s="143"/>
      <c r="N1054" s="143"/>
      <c r="O1054" s="143"/>
      <c r="P1054" s="143"/>
      <c r="Q1054" s="104">
        <f t="shared" si="57"/>
        <v>0</v>
      </c>
      <c r="R1054" s="129">
        <f t="shared" si="59"/>
        <v>0</v>
      </c>
      <c r="S1054" s="66">
        <f t="shared" si="58"/>
        <v>0</v>
      </c>
    </row>
    <row r="1055" spans="1:19" ht="15" x14ac:dyDescent="0.25">
      <c r="A1055" s="141" t="s">
        <v>148</v>
      </c>
      <c r="B1055" s="141"/>
      <c r="C1055" s="141"/>
      <c r="D1055" s="142"/>
      <c r="E1055" s="142"/>
      <c r="F1055" s="142"/>
      <c r="G1055" s="141"/>
      <c r="H1055" s="141"/>
      <c r="I1055" s="141"/>
      <c r="J1055" s="141"/>
      <c r="K1055" s="141"/>
      <c r="L1055" s="142"/>
      <c r="M1055" s="143"/>
      <c r="N1055" s="143"/>
      <c r="O1055" s="143"/>
      <c r="P1055" s="143"/>
      <c r="Q1055" s="104">
        <f t="shared" si="57"/>
        <v>0</v>
      </c>
      <c r="R1055" s="129">
        <f t="shared" si="59"/>
        <v>0</v>
      </c>
      <c r="S1055" s="66">
        <f t="shared" si="58"/>
        <v>0</v>
      </c>
    </row>
    <row r="1056" spans="1:19" ht="15" x14ac:dyDescent="0.25">
      <c r="A1056" s="141" t="s">
        <v>148</v>
      </c>
      <c r="B1056" s="141"/>
      <c r="C1056" s="141"/>
      <c r="D1056" s="142"/>
      <c r="E1056" s="142"/>
      <c r="F1056" s="142"/>
      <c r="G1056" s="141"/>
      <c r="H1056" s="141"/>
      <c r="I1056" s="141"/>
      <c r="J1056" s="141"/>
      <c r="K1056" s="141"/>
      <c r="L1056" s="142"/>
      <c r="M1056" s="143"/>
      <c r="N1056" s="143"/>
      <c r="O1056" s="143"/>
      <c r="P1056" s="143"/>
      <c r="Q1056" s="104">
        <f t="shared" si="57"/>
        <v>0</v>
      </c>
      <c r="R1056" s="129">
        <f t="shared" si="59"/>
        <v>0</v>
      </c>
      <c r="S1056" s="66">
        <f t="shared" si="58"/>
        <v>0</v>
      </c>
    </row>
    <row r="1057" spans="1:19" ht="15" x14ac:dyDescent="0.25">
      <c r="A1057" s="141" t="s">
        <v>148</v>
      </c>
      <c r="B1057" s="141"/>
      <c r="C1057" s="141"/>
      <c r="D1057" s="142"/>
      <c r="E1057" s="142"/>
      <c r="F1057" s="142"/>
      <c r="G1057" s="141"/>
      <c r="H1057" s="141"/>
      <c r="I1057" s="141"/>
      <c r="J1057" s="141"/>
      <c r="K1057" s="141"/>
      <c r="L1057" s="142"/>
      <c r="M1057" s="143"/>
      <c r="N1057" s="143"/>
      <c r="O1057" s="143"/>
      <c r="P1057" s="143"/>
      <c r="Q1057" s="104">
        <f t="shared" si="57"/>
        <v>0</v>
      </c>
      <c r="R1057" s="129">
        <f t="shared" si="59"/>
        <v>0</v>
      </c>
      <c r="S1057" s="66">
        <f t="shared" si="58"/>
        <v>0</v>
      </c>
    </row>
    <row r="1058" spans="1:19" ht="15" x14ac:dyDescent="0.25">
      <c r="A1058" s="141" t="s">
        <v>148</v>
      </c>
      <c r="B1058" s="141"/>
      <c r="C1058" s="141"/>
      <c r="D1058" s="142"/>
      <c r="E1058" s="142"/>
      <c r="F1058" s="142"/>
      <c r="G1058" s="141"/>
      <c r="H1058" s="141"/>
      <c r="I1058" s="141"/>
      <c r="J1058" s="141"/>
      <c r="K1058" s="141"/>
      <c r="L1058" s="142"/>
      <c r="M1058" s="143"/>
      <c r="N1058" s="143"/>
      <c r="O1058" s="143"/>
      <c r="P1058" s="143"/>
      <c r="Q1058" s="104">
        <f t="shared" si="57"/>
        <v>0</v>
      </c>
      <c r="R1058" s="129">
        <f t="shared" si="59"/>
        <v>0</v>
      </c>
      <c r="S1058" s="66">
        <f t="shared" si="58"/>
        <v>0</v>
      </c>
    </row>
    <row r="1059" spans="1:19" ht="15" x14ac:dyDescent="0.25">
      <c r="A1059" s="141" t="s">
        <v>148</v>
      </c>
      <c r="B1059" s="141"/>
      <c r="C1059" s="141"/>
      <c r="D1059" s="142"/>
      <c r="E1059" s="142"/>
      <c r="F1059" s="142"/>
      <c r="G1059" s="141"/>
      <c r="H1059" s="141"/>
      <c r="I1059" s="141"/>
      <c r="J1059" s="141"/>
      <c r="K1059" s="141"/>
      <c r="L1059" s="142"/>
      <c r="M1059" s="143"/>
      <c r="N1059" s="143"/>
      <c r="O1059" s="143"/>
      <c r="P1059" s="143"/>
      <c r="Q1059" s="104">
        <f t="shared" si="57"/>
        <v>0</v>
      </c>
      <c r="R1059" s="129">
        <f t="shared" si="59"/>
        <v>0</v>
      </c>
      <c r="S1059" s="66">
        <f t="shared" si="58"/>
        <v>0</v>
      </c>
    </row>
    <row r="1060" spans="1:19" ht="15" x14ac:dyDescent="0.25">
      <c r="A1060" s="141" t="s">
        <v>148</v>
      </c>
      <c r="B1060" s="141"/>
      <c r="C1060" s="141"/>
      <c r="D1060" s="142"/>
      <c r="E1060" s="142"/>
      <c r="F1060" s="142"/>
      <c r="G1060" s="141"/>
      <c r="H1060" s="141"/>
      <c r="I1060" s="141"/>
      <c r="J1060" s="141"/>
      <c r="K1060" s="141"/>
      <c r="L1060" s="142"/>
      <c r="M1060" s="143"/>
      <c r="N1060" s="143"/>
      <c r="O1060" s="143"/>
      <c r="P1060" s="143"/>
      <c r="Q1060" s="104">
        <f t="shared" si="57"/>
        <v>0</v>
      </c>
      <c r="R1060" s="129">
        <f t="shared" si="59"/>
        <v>0</v>
      </c>
      <c r="S1060" s="66">
        <f t="shared" si="58"/>
        <v>0</v>
      </c>
    </row>
    <row r="1061" spans="1:19" ht="15" x14ac:dyDescent="0.25">
      <c r="A1061" s="141" t="s">
        <v>148</v>
      </c>
      <c r="B1061" s="141"/>
      <c r="C1061" s="141"/>
      <c r="D1061" s="142"/>
      <c r="E1061" s="142"/>
      <c r="F1061" s="142"/>
      <c r="G1061" s="141"/>
      <c r="H1061" s="141"/>
      <c r="I1061" s="141"/>
      <c r="J1061" s="141"/>
      <c r="K1061" s="141"/>
      <c r="L1061" s="142"/>
      <c r="M1061" s="143"/>
      <c r="N1061" s="143"/>
      <c r="O1061" s="143"/>
      <c r="P1061" s="143"/>
      <c r="Q1061" s="104">
        <f t="shared" si="57"/>
        <v>0</v>
      </c>
      <c r="R1061" s="129">
        <f t="shared" si="59"/>
        <v>0</v>
      </c>
      <c r="S1061" s="66">
        <f t="shared" si="58"/>
        <v>0</v>
      </c>
    </row>
    <row r="1062" spans="1:19" ht="15" x14ac:dyDescent="0.25">
      <c r="A1062" s="141" t="s">
        <v>148</v>
      </c>
      <c r="B1062" s="141"/>
      <c r="C1062" s="141"/>
      <c r="D1062" s="142"/>
      <c r="E1062" s="142"/>
      <c r="F1062" s="142"/>
      <c r="G1062" s="141"/>
      <c r="H1062" s="141"/>
      <c r="I1062" s="141"/>
      <c r="J1062" s="141"/>
      <c r="K1062" s="141"/>
      <c r="L1062" s="142"/>
      <c r="M1062" s="143"/>
      <c r="N1062" s="143"/>
      <c r="O1062" s="143"/>
      <c r="P1062" s="143"/>
      <c r="Q1062" s="104">
        <f t="shared" si="57"/>
        <v>0</v>
      </c>
      <c r="R1062" s="129">
        <f t="shared" si="59"/>
        <v>0</v>
      </c>
      <c r="S1062" s="66">
        <f t="shared" si="58"/>
        <v>0</v>
      </c>
    </row>
    <row r="1063" spans="1:19" ht="15" x14ac:dyDescent="0.25">
      <c r="A1063" s="141" t="s">
        <v>148</v>
      </c>
      <c r="B1063" s="141"/>
      <c r="C1063" s="141"/>
      <c r="D1063" s="142"/>
      <c r="E1063" s="142"/>
      <c r="F1063" s="142"/>
      <c r="G1063" s="141"/>
      <c r="H1063" s="141"/>
      <c r="I1063" s="141"/>
      <c r="J1063" s="141"/>
      <c r="K1063" s="141"/>
      <c r="L1063" s="142"/>
      <c r="M1063" s="143"/>
      <c r="N1063" s="143"/>
      <c r="O1063" s="143"/>
      <c r="P1063" s="143"/>
      <c r="Q1063" s="104">
        <f t="shared" si="57"/>
        <v>0</v>
      </c>
      <c r="R1063" s="129">
        <f t="shared" si="59"/>
        <v>0</v>
      </c>
      <c r="S1063" s="66">
        <f t="shared" si="58"/>
        <v>0</v>
      </c>
    </row>
    <row r="1064" spans="1:19" ht="15" x14ac:dyDescent="0.25">
      <c r="A1064" s="141" t="s">
        <v>148</v>
      </c>
      <c r="B1064" s="141"/>
      <c r="C1064" s="141"/>
      <c r="D1064" s="142"/>
      <c r="E1064" s="142"/>
      <c r="F1064" s="142"/>
      <c r="G1064" s="141"/>
      <c r="H1064" s="141"/>
      <c r="I1064" s="141"/>
      <c r="J1064" s="141"/>
      <c r="K1064" s="141"/>
      <c r="L1064" s="142"/>
      <c r="M1064" s="143"/>
      <c r="N1064" s="143"/>
      <c r="O1064" s="143"/>
      <c r="P1064" s="143"/>
      <c r="Q1064" s="104">
        <f t="shared" si="57"/>
        <v>0</v>
      </c>
      <c r="R1064" s="129">
        <f t="shared" si="59"/>
        <v>0</v>
      </c>
      <c r="S1064" s="66">
        <f t="shared" si="58"/>
        <v>0</v>
      </c>
    </row>
    <row r="1065" spans="1:19" ht="15" x14ac:dyDescent="0.25">
      <c r="A1065" s="141" t="s">
        <v>148</v>
      </c>
      <c r="B1065" s="141"/>
      <c r="C1065" s="141"/>
      <c r="D1065" s="142"/>
      <c r="E1065" s="142"/>
      <c r="F1065" s="142"/>
      <c r="G1065" s="141"/>
      <c r="H1065" s="141"/>
      <c r="I1065" s="141"/>
      <c r="J1065" s="141"/>
      <c r="K1065" s="141"/>
      <c r="L1065" s="142"/>
      <c r="M1065" s="143"/>
      <c r="N1065" s="143"/>
      <c r="O1065" s="143"/>
      <c r="P1065" s="143"/>
      <c r="Q1065" s="104">
        <f t="shared" si="57"/>
        <v>0</v>
      </c>
      <c r="R1065" s="129">
        <f t="shared" si="59"/>
        <v>0</v>
      </c>
      <c r="S1065" s="66">
        <f t="shared" si="58"/>
        <v>0</v>
      </c>
    </row>
    <row r="1066" spans="1:19" ht="15" x14ac:dyDescent="0.25">
      <c r="A1066" s="141" t="s">
        <v>148</v>
      </c>
      <c r="B1066" s="141"/>
      <c r="C1066" s="141"/>
      <c r="D1066" s="142"/>
      <c r="E1066" s="142"/>
      <c r="F1066" s="142"/>
      <c r="G1066" s="141"/>
      <c r="H1066" s="141"/>
      <c r="I1066" s="141"/>
      <c r="J1066" s="141"/>
      <c r="K1066" s="141"/>
      <c r="L1066" s="142"/>
      <c r="M1066" s="143"/>
      <c r="N1066" s="143"/>
      <c r="O1066" s="143"/>
      <c r="P1066" s="143"/>
      <c r="Q1066" s="104">
        <f t="shared" si="57"/>
        <v>0</v>
      </c>
      <c r="R1066" s="129">
        <f t="shared" si="59"/>
        <v>0</v>
      </c>
      <c r="S1066" s="66">
        <f t="shared" si="58"/>
        <v>0</v>
      </c>
    </row>
    <row r="1067" spans="1:19" ht="15" x14ac:dyDescent="0.25">
      <c r="A1067" s="141" t="s">
        <v>148</v>
      </c>
      <c r="B1067" s="141"/>
      <c r="C1067" s="141"/>
      <c r="D1067" s="142"/>
      <c r="E1067" s="142"/>
      <c r="F1067" s="142"/>
      <c r="G1067" s="141"/>
      <c r="H1067" s="141"/>
      <c r="I1067" s="141"/>
      <c r="J1067" s="141"/>
      <c r="K1067" s="141"/>
      <c r="L1067" s="142"/>
      <c r="M1067" s="143"/>
      <c r="N1067" s="143"/>
      <c r="O1067" s="143"/>
      <c r="P1067" s="143"/>
      <c r="Q1067" s="104">
        <f t="shared" si="57"/>
        <v>0</v>
      </c>
      <c r="R1067" s="104"/>
      <c r="S1067" s="66">
        <f t="shared" si="58"/>
        <v>0</v>
      </c>
    </row>
    <row r="1068" spans="1:19" ht="15" x14ac:dyDescent="0.25">
      <c r="A1068" s="141" t="s">
        <v>148</v>
      </c>
      <c r="B1068" s="141"/>
      <c r="C1068" s="141"/>
      <c r="D1068" s="142"/>
      <c r="E1068" s="142"/>
      <c r="F1068" s="142"/>
      <c r="G1068" s="141"/>
      <c r="H1068" s="141"/>
      <c r="I1068" s="141"/>
      <c r="J1068" s="141"/>
      <c r="K1068" s="141"/>
      <c r="L1068" s="142"/>
      <c r="M1068" s="143"/>
      <c r="N1068" s="143"/>
      <c r="O1068" s="143"/>
      <c r="P1068" s="143"/>
      <c r="Q1068" s="104">
        <f t="shared" si="57"/>
        <v>0</v>
      </c>
      <c r="R1068" s="104"/>
      <c r="S1068" s="66">
        <f t="shared" si="58"/>
        <v>0</v>
      </c>
    </row>
    <row r="1069" spans="1:19" ht="15" x14ac:dyDescent="0.25">
      <c r="A1069" s="141" t="s">
        <v>148</v>
      </c>
      <c r="B1069" s="141"/>
      <c r="C1069" s="141"/>
      <c r="D1069" s="142"/>
      <c r="E1069" s="142"/>
      <c r="F1069" s="142"/>
      <c r="G1069" s="141"/>
      <c r="H1069" s="141"/>
      <c r="I1069" s="141"/>
      <c r="J1069" s="141"/>
      <c r="K1069" s="141"/>
      <c r="L1069" s="142"/>
      <c r="M1069" s="143"/>
      <c r="N1069" s="143"/>
      <c r="O1069" s="143"/>
      <c r="P1069" s="143"/>
      <c r="Q1069" s="104">
        <f t="shared" si="57"/>
        <v>0</v>
      </c>
      <c r="R1069" s="104"/>
      <c r="S1069" s="66">
        <f t="shared" si="58"/>
        <v>0</v>
      </c>
    </row>
    <row r="1070" spans="1:19" ht="15" x14ac:dyDescent="0.25">
      <c r="A1070" s="141" t="s">
        <v>148</v>
      </c>
      <c r="B1070" s="141"/>
      <c r="C1070" s="141"/>
      <c r="D1070" s="142"/>
      <c r="E1070" s="142"/>
      <c r="F1070" s="142"/>
      <c r="G1070" s="141"/>
      <c r="H1070" s="141"/>
      <c r="I1070" s="141"/>
      <c r="J1070" s="141"/>
      <c r="K1070" s="141"/>
      <c r="L1070" s="142"/>
      <c r="M1070" s="143"/>
      <c r="N1070" s="143"/>
      <c r="O1070" s="143"/>
      <c r="P1070" s="143"/>
      <c r="Q1070" s="104">
        <f t="shared" si="57"/>
        <v>0</v>
      </c>
      <c r="R1070" s="104"/>
      <c r="S1070" s="66">
        <f t="shared" si="58"/>
        <v>0</v>
      </c>
    </row>
    <row r="1071" spans="1:19" ht="15" x14ac:dyDescent="0.25">
      <c r="A1071" s="141" t="s">
        <v>148</v>
      </c>
      <c r="B1071" s="141"/>
      <c r="C1071" s="141"/>
      <c r="D1071" s="142"/>
      <c r="E1071" s="142"/>
      <c r="F1071" s="142"/>
      <c r="G1071" s="141"/>
      <c r="H1071" s="141"/>
      <c r="I1071" s="141"/>
      <c r="J1071" s="141"/>
      <c r="K1071" s="141"/>
      <c r="L1071" s="142"/>
      <c r="M1071" s="143"/>
      <c r="N1071" s="143"/>
      <c r="O1071" s="143"/>
      <c r="P1071" s="143"/>
      <c r="Q1071" s="104">
        <f t="shared" si="57"/>
        <v>0</v>
      </c>
      <c r="R1071" s="104"/>
      <c r="S1071" s="66">
        <f t="shared" si="58"/>
        <v>0</v>
      </c>
    </row>
    <row r="1072" spans="1:19" ht="15" x14ac:dyDescent="0.25">
      <c r="A1072" s="141" t="s">
        <v>148</v>
      </c>
      <c r="B1072" s="141"/>
      <c r="C1072" s="141"/>
      <c r="D1072" s="142"/>
      <c r="E1072" s="142"/>
      <c r="F1072" s="142"/>
      <c r="G1072" s="141"/>
      <c r="H1072" s="141"/>
      <c r="I1072" s="141"/>
      <c r="J1072" s="141"/>
      <c r="K1072" s="141"/>
      <c r="L1072" s="142"/>
      <c r="M1072" s="143"/>
      <c r="N1072" s="143"/>
      <c r="O1072" s="143"/>
      <c r="P1072" s="143"/>
      <c r="Q1072" s="104">
        <f t="shared" si="57"/>
        <v>0</v>
      </c>
      <c r="R1072" s="104"/>
      <c r="S1072" s="66">
        <f t="shared" si="58"/>
        <v>0</v>
      </c>
    </row>
    <row r="1073" spans="1:19" ht="15" x14ac:dyDescent="0.25">
      <c r="A1073" s="141" t="s">
        <v>148</v>
      </c>
      <c r="B1073" s="141"/>
      <c r="C1073" s="141"/>
      <c r="D1073" s="142"/>
      <c r="E1073" s="142"/>
      <c r="F1073" s="142"/>
      <c r="G1073" s="141"/>
      <c r="H1073" s="141"/>
      <c r="I1073" s="141"/>
      <c r="J1073" s="141"/>
      <c r="K1073" s="141"/>
      <c r="L1073" s="142"/>
      <c r="M1073" s="143"/>
      <c r="N1073" s="143"/>
      <c r="O1073" s="143"/>
      <c r="P1073" s="143"/>
      <c r="Q1073" s="104">
        <f t="shared" si="57"/>
        <v>0</v>
      </c>
      <c r="R1073" s="104"/>
      <c r="S1073" s="66">
        <f t="shared" si="58"/>
        <v>0</v>
      </c>
    </row>
    <row r="1074" spans="1:19" ht="15" x14ac:dyDescent="0.25">
      <c r="A1074" s="141" t="s">
        <v>148</v>
      </c>
      <c r="B1074" s="141"/>
      <c r="C1074" s="141"/>
      <c r="D1074" s="142"/>
      <c r="E1074" s="142"/>
      <c r="F1074" s="142"/>
      <c r="G1074" s="141"/>
      <c r="H1074" s="141"/>
      <c r="I1074" s="141"/>
      <c r="J1074" s="141"/>
      <c r="K1074" s="141"/>
      <c r="L1074" s="142"/>
      <c r="M1074" s="143"/>
      <c r="N1074" s="143"/>
      <c r="O1074" s="143"/>
      <c r="P1074" s="143"/>
      <c r="Q1074" s="104">
        <f t="shared" si="57"/>
        <v>0</v>
      </c>
      <c r="R1074" s="104"/>
      <c r="S1074" s="66">
        <f t="shared" si="58"/>
        <v>0</v>
      </c>
    </row>
    <row r="1075" spans="1:19" ht="15" x14ac:dyDescent="0.25">
      <c r="A1075" s="141" t="s">
        <v>148</v>
      </c>
      <c r="B1075" s="141"/>
      <c r="C1075" s="141"/>
      <c r="D1075" s="142"/>
      <c r="E1075" s="142"/>
      <c r="F1075" s="142"/>
      <c r="G1075" s="141"/>
      <c r="H1075" s="141"/>
      <c r="I1075" s="141"/>
      <c r="J1075" s="141"/>
      <c r="K1075" s="141"/>
      <c r="L1075" s="142"/>
      <c r="M1075" s="143"/>
      <c r="N1075" s="143"/>
      <c r="O1075" s="143"/>
      <c r="P1075" s="143"/>
      <c r="Q1075" s="104">
        <f t="shared" si="57"/>
        <v>0</v>
      </c>
      <c r="R1075" s="104"/>
      <c r="S1075" s="66">
        <f t="shared" si="58"/>
        <v>0</v>
      </c>
    </row>
    <row r="1076" spans="1:19" ht="15" x14ac:dyDescent="0.25">
      <c r="A1076" s="141" t="s">
        <v>148</v>
      </c>
      <c r="B1076" s="141"/>
      <c r="C1076" s="141"/>
      <c r="D1076" s="142"/>
      <c r="E1076" s="142"/>
      <c r="F1076" s="142"/>
      <c r="G1076" s="141"/>
      <c r="H1076" s="141"/>
      <c r="I1076" s="141"/>
      <c r="J1076" s="141"/>
      <c r="K1076" s="141"/>
      <c r="L1076" s="142"/>
      <c r="M1076" s="143"/>
      <c r="N1076" s="143"/>
      <c r="O1076" s="143"/>
      <c r="P1076" s="143"/>
      <c r="Q1076" s="104">
        <f t="shared" si="57"/>
        <v>0</v>
      </c>
      <c r="R1076" s="104"/>
      <c r="S1076" s="66">
        <f t="shared" si="58"/>
        <v>0</v>
      </c>
    </row>
    <row r="1077" spans="1:19" ht="15" x14ac:dyDescent="0.25">
      <c r="A1077" s="141" t="s">
        <v>148</v>
      </c>
      <c r="B1077" s="141"/>
      <c r="C1077" s="141"/>
      <c r="D1077" s="142"/>
      <c r="E1077" s="142"/>
      <c r="F1077" s="142"/>
      <c r="G1077" s="141"/>
      <c r="H1077" s="141"/>
      <c r="I1077" s="141"/>
      <c r="J1077" s="141"/>
      <c r="K1077" s="141"/>
      <c r="L1077" s="142"/>
      <c r="M1077" s="143"/>
      <c r="N1077" s="143"/>
      <c r="O1077" s="143"/>
      <c r="P1077" s="143"/>
      <c r="Q1077" s="104">
        <f t="shared" si="57"/>
        <v>0</v>
      </c>
      <c r="R1077" s="104"/>
      <c r="S1077" s="66">
        <f t="shared" si="58"/>
        <v>0</v>
      </c>
    </row>
    <row r="1078" spans="1:19" ht="15" x14ac:dyDescent="0.25">
      <c r="A1078" s="141" t="s">
        <v>148</v>
      </c>
      <c r="B1078" s="141"/>
      <c r="C1078" s="141"/>
      <c r="D1078" s="142"/>
      <c r="E1078" s="142"/>
      <c r="F1078" s="142"/>
      <c r="G1078" s="141"/>
      <c r="H1078" s="141"/>
      <c r="I1078" s="141"/>
      <c r="J1078" s="141"/>
      <c r="K1078" s="141"/>
      <c r="L1078" s="142"/>
      <c r="M1078" s="143"/>
      <c r="N1078" s="143"/>
      <c r="O1078" s="143"/>
      <c r="P1078" s="143"/>
      <c r="Q1078" s="104">
        <f t="shared" si="57"/>
        <v>0</v>
      </c>
      <c r="R1078" s="104"/>
      <c r="S1078" s="66">
        <f t="shared" si="58"/>
        <v>0</v>
      </c>
    </row>
    <row r="1079" spans="1:19" ht="15" x14ac:dyDescent="0.25">
      <c r="A1079" s="141" t="s">
        <v>148</v>
      </c>
      <c r="B1079" s="141"/>
      <c r="C1079" s="141"/>
      <c r="D1079" s="142"/>
      <c r="E1079" s="142"/>
      <c r="F1079" s="142"/>
      <c r="G1079" s="141"/>
      <c r="H1079" s="141"/>
      <c r="I1079" s="141"/>
      <c r="J1079" s="141"/>
      <c r="K1079" s="141"/>
      <c r="L1079" s="142"/>
      <c r="M1079" s="143"/>
      <c r="N1079" s="143"/>
      <c r="O1079" s="143"/>
      <c r="P1079" s="143"/>
      <c r="Q1079" s="104">
        <f t="shared" si="57"/>
        <v>0</v>
      </c>
      <c r="R1079" s="104"/>
      <c r="S1079" s="66">
        <f t="shared" si="58"/>
        <v>0</v>
      </c>
    </row>
    <row r="1080" spans="1:19" ht="15" x14ac:dyDescent="0.25">
      <c r="A1080" s="141" t="s">
        <v>148</v>
      </c>
      <c r="B1080" s="141"/>
      <c r="C1080" s="141"/>
      <c r="D1080" s="142"/>
      <c r="E1080" s="142"/>
      <c r="F1080" s="142"/>
      <c r="G1080" s="141"/>
      <c r="H1080" s="141"/>
      <c r="I1080" s="141"/>
      <c r="J1080" s="141"/>
      <c r="K1080" s="141"/>
      <c r="L1080" s="142"/>
      <c r="M1080" s="143"/>
      <c r="N1080" s="143"/>
      <c r="O1080" s="143"/>
      <c r="P1080" s="143"/>
      <c r="Q1080" s="104">
        <f t="shared" si="57"/>
        <v>0</v>
      </c>
      <c r="R1080" s="104"/>
      <c r="S1080" s="66">
        <f t="shared" si="58"/>
        <v>0</v>
      </c>
    </row>
    <row r="1081" spans="1:19" ht="15" x14ac:dyDescent="0.25">
      <c r="A1081" s="141" t="s">
        <v>148</v>
      </c>
      <c r="B1081" s="141"/>
      <c r="C1081" s="141"/>
      <c r="D1081" s="142"/>
      <c r="E1081" s="142"/>
      <c r="F1081" s="142"/>
      <c r="G1081" s="141"/>
      <c r="H1081" s="141"/>
      <c r="I1081" s="141"/>
      <c r="J1081" s="141"/>
      <c r="K1081" s="141"/>
      <c r="L1081" s="142"/>
      <c r="M1081" s="143"/>
      <c r="N1081" s="143"/>
      <c r="O1081" s="143"/>
      <c r="P1081" s="143"/>
      <c r="Q1081" s="104">
        <f t="shared" si="57"/>
        <v>0</v>
      </c>
      <c r="R1081" s="104"/>
      <c r="S1081" s="66">
        <f t="shared" si="58"/>
        <v>0</v>
      </c>
    </row>
    <row r="1082" spans="1:19" ht="15" x14ac:dyDescent="0.25">
      <c r="A1082" s="141" t="s">
        <v>148</v>
      </c>
      <c r="B1082" s="141"/>
      <c r="C1082" s="141"/>
      <c r="D1082" s="142"/>
      <c r="E1082" s="142"/>
      <c r="F1082" s="142"/>
      <c r="G1082" s="141"/>
      <c r="H1082" s="141"/>
      <c r="I1082" s="141"/>
      <c r="J1082" s="141"/>
      <c r="K1082" s="141"/>
      <c r="L1082" s="142"/>
      <c r="M1082" s="143"/>
      <c r="N1082" s="143"/>
      <c r="O1082" s="143"/>
      <c r="P1082" s="143"/>
      <c r="Q1082" s="104">
        <f t="shared" si="57"/>
        <v>0</v>
      </c>
      <c r="R1082" s="104"/>
      <c r="S1082" s="66">
        <f t="shared" si="58"/>
        <v>0</v>
      </c>
    </row>
    <row r="1083" spans="1:19" ht="15" x14ac:dyDescent="0.25">
      <c r="A1083" s="141" t="s">
        <v>148</v>
      </c>
      <c r="B1083" s="141"/>
      <c r="C1083" s="141"/>
      <c r="D1083" s="142"/>
      <c r="E1083" s="142"/>
      <c r="F1083" s="142"/>
      <c r="G1083" s="141"/>
      <c r="H1083" s="141"/>
      <c r="I1083" s="141"/>
      <c r="J1083" s="141"/>
      <c r="K1083" s="141"/>
      <c r="L1083" s="142"/>
      <c r="M1083" s="143"/>
      <c r="N1083" s="143"/>
      <c r="O1083" s="143"/>
      <c r="P1083" s="143"/>
      <c r="Q1083" s="104">
        <f t="shared" si="57"/>
        <v>0</v>
      </c>
      <c r="R1083" s="129"/>
      <c r="S1083" s="66">
        <f t="shared" si="58"/>
        <v>0</v>
      </c>
    </row>
    <row r="1084" spans="1:19" ht="15" x14ac:dyDescent="0.25">
      <c r="A1084" s="141" t="s">
        <v>148</v>
      </c>
      <c r="B1084" s="141"/>
      <c r="C1084" s="141"/>
      <c r="D1084" s="142"/>
      <c r="E1084" s="142"/>
      <c r="F1084" s="142"/>
      <c r="G1084" s="141"/>
      <c r="H1084" s="141"/>
      <c r="I1084" s="141"/>
      <c r="J1084" s="141"/>
      <c r="K1084" s="141"/>
      <c r="L1084" s="142"/>
      <c r="M1084" s="143"/>
      <c r="N1084" s="143"/>
      <c r="O1084" s="143"/>
      <c r="P1084" s="143"/>
      <c r="Q1084" s="104">
        <f t="shared" si="57"/>
        <v>0</v>
      </c>
      <c r="R1084" s="129"/>
      <c r="S1084" s="66">
        <f t="shared" si="58"/>
        <v>0</v>
      </c>
    </row>
    <row r="1085" spans="1:19" ht="15" x14ac:dyDescent="0.25">
      <c r="A1085" s="141" t="s">
        <v>148</v>
      </c>
      <c r="B1085" s="141"/>
      <c r="C1085" s="141"/>
      <c r="D1085" s="142"/>
      <c r="E1085" s="142"/>
      <c r="F1085" s="142"/>
      <c r="G1085" s="141"/>
      <c r="H1085" s="141"/>
      <c r="I1085" s="141"/>
      <c r="J1085" s="141"/>
      <c r="K1085" s="141"/>
      <c r="L1085" s="142"/>
      <c r="M1085" s="143"/>
      <c r="N1085" s="143"/>
      <c r="O1085" s="143"/>
      <c r="P1085" s="143"/>
      <c r="Q1085" s="104">
        <f t="shared" si="57"/>
        <v>0</v>
      </c>
      <c r="R1085" s="129"/>
      <c r="S1085" s="66">
        <f t="shared" si="58"/>
        <v>0</v>
      </c>
    </row>
    <row r="1086" spans="1:19" ht="15" x14ac:dyDescent="0.25">
      <c r="A1086" s="141" t="s">
        <v>148</v>
      </c>
      <c r="B1086" s="141"/>
      <c r="C1086" s="141"/>
      <c r="D1086" s="142"/>
      <c r="E1086" s="142"/>
      <c r="F1086" s="142"/>
      <c r="G1086" s="141"/>
      <c r="H1086" s="141"/>
      <c r="I1086" s="141"/>
      <c r="J1086" s="141"/>
      <c r="K1086" s="141"/>
      <c r="L1086" s="142"/>
      <c r="M1086" s="143"/>
      <c r="N1086" s="143"/>
      <c r="O1086" s="143"/>
      <c r="P1086" s="143"/>
      <c r="Q1086" s="104">
        <f t="shared" si="57"/>
        <v>0</v>
      </c>
      <c r="R1086" s="129"/>
      <c r="S1086" s="66">
        <f t="shared" si="58"/>
        <v>0</v>
      </c>
    </row>
    <row r="1087" spans="1:19" ht="15" x14ac:dyDescent="0.25">
      <c r="A1087" s="141" t="s">
        <v>148</v>
      </c>
      <c r="B1087" s="141"/>
      <c r="C1087" s="141"/>
      <c r="D1087" s="142"/>
      <c r="E1087" s="142"/>
      <c r="F1087" s="142"/>
      <c r="G1087" s="141"/>
      <c r="H1087" s="141"/>
      <c r="I1087" s="141"/>
      <c r="J1087" s="141"/>
      <c r="K1087" s="141"/>
      <c r="L1087" s="142"/>
      <c r="M1087" s="143"/>
      <c r="N1087" s="143"/>
      <c r="O1087" s="143"/>
      <c r="P1087" s="143"/>
      <c r="Q1087" s="104">
        <f t="shared" si="57"/>
        <v>0</v>
      </c>
      <c r="R1087" s="129"/>
      <c r="S1087" s="66">
        <f t="shared" si="58"/>
        <v>0</v>
      </c>
    </row>
    <row r="1088" spans="1:19" ht="15" x14ac:dyDescent="0.25">
      <c r="A1088" s="141" t="s">
        <v>148</v>
      </c>
      <c r="B1088" s="141"/>
      <c r="C1088" s="141"/>
      <c r="D1088" s="142"/>
      <c r="E1088" s="142"/>
      <c r="F1088" s="142"/>
      <c r="G1088" s="141"/>
      <c r="H1088" s="141"/>
      <c r="I1088" s="141"/>
      <c r="J1088" s="141"/>
      <c r="K1088" s="141"/>
      <c r="L1088" s="142"/>
      <c r="M1088" s="143"/>
      <c r="N1088" s="143"/>
      <c r="O1088" s="143"/>
      <c r="P1088" s="143"/>
      <c r="Q1088" s="104">
        <f t="shared" si="57"/>
        <v>0</v>
      </c>
      <c r="R1088" s="129"/>
      <c r="S1088" s="66">
        <f t="shared" si="58"/>
        <v>0</v>
      </c>
    </row>
    <row r="1089" spans="1:19" ht="15" x14ac:dyDescent="0.25">
      <c r="A1089" s="141" t="s">
        <v>148</v>
      </c>
      <c r="B1089" s="141"/>
      <c r="C1089" s="141"/>
      <c r="D1089" s="142"/>
      <c r="E1089" s="142"/>
      <c r="F1089" s="142"/>
      <c r="G1089" s="141"/>
      <c r="H1089" s="141"/>
      <c r="I1089" s="141"/>
      <c r="J1089" s="141"/>
      <c r="K1089" s="141"/>
      <c r="L1089" s="142"/>
      <c r="M1089" s="143"/>
      <c r="N1089" s="143"/>
      <c r="O1089" s="143"/>
      <c r="P1089" s="143"/>
      <c r="Q1089" s="104">
        <f t="shared" si="57"/>
        <v>0</v>
      </c>
      <c r="R1089" s="129"/>
      <c r="S1089" s="66">
        <f t="shared" si="58"/>
        <v>0</v>
      </c>
    </row>
    <row r="1090" spans="1:19" ht="15" x14ac:dyDescent="0.25">
      <c r="A1090" s="141" t="s">
        <v>148</v>
      </c>
      <c r="B1090" s="141"/>
      <c r="C1090" s="141"/>
      <c r="D1090" s="142"/>
      <c r="E1090" s="142"/>
      <c r="F1090" s="142"/>
      <c r="G1090" s="141"/>
      <c r="H1090" s="141"/>
      <c r="I1090" s="141"/>
      <c r="J1090" s="141"/>
      <c r="K1090" s="141"/>
      <c r="L1090" s="142"/>
      <c r="M1090" s="143"/>
      <c r="N1090" s="143"/>
      <c r="O1090" s="143"/>
      <c r="P1090" s="143"/>
      <c r="Q1090" s="104">
        <f t="shared" si="57"/>
        <v>0</v>
      </c>
      <c r="R1090" s="129"/>
      <c r="S1090" s="66">
        <f t="shared" si="58"/>
        <v>0</v>
      </c>
    </row>
    <row r="1091" spans="1:19" ht="15" x14ac:dyDescent="0.25">
      <c r="A1091" s="141" t="s">
        <v>148</v>
      </c>
      <c r="B1091" s="141"/>
      <c r="C1091" s="141"/>
      <c r="D1091" s="142"/>
      <c r="E1091" s="142"/>
      <c r="F1091" s="142"/>
      <c r="G1091" s="141"/>
      <c r="H1091" s="141"/>
      <c r="I1091" s="141"/>
      <c r="J1091" s="141"/>
      <c r="K1091" s="141"/>
      <c r="L1091" s="142"/>
      <c r="M1091" s="143"/>
      <c r="N1091" s="143"/>
      <c r="O1091" s="143"/>
      <c r="P1091" s="143"/>
      <c r="Q1091" s="104">
        <f t="shared" si="57"/>
        <v>0</v>
      </c>
      <c r="R1091" s="129"/>
      <c r="S1091" s="66">
        <f t="shared" si="58"/>
        <v>0</v>
      </c>
    </row>
    <row r="1092" spans="1:19" ht="15" x14ac:dyDescent="0.25">
      <c r="A1092" s="141" t="s">
        <v>148</v>
      </c>
      <c r="B1092" s="141"/>
      <c r="C1092" s="141"/>
      <c r="D1092" s="142"/>
      <c r="E1092" s="142"/>
      <c r="F1092" s="142"/>
      <c r="G1092" s="141"/>
      <c r="H1092" s="141"/>
      <c r="I1092" s="141"/>
      <c r="J1092" s="141"/>
      <c r="K1092" s="141"/>
      <c r="L1092" s="142"/>
      <c r="M1092" s="143"/>
      <c r="N1092" s="143"/>
      <c r="O1092" s="143"/>
      <c r="P1092" s="143"/>
      <c r="Q1092" s="104">
        <f t="shared" si="57"/>
        <v>0</v>
      </c>
      <c r="R1092" s="129"/>
      <c r="S1092" s="66">
        <f t="shared" si="58"/>
        <v>0</v>
      </c>
    </row>
    <row r="1093" spans="1:19" ht="15" x14ac:dyDescent="0.25">
      <c r="A1093" s="141"/>
      <c r="B1093" s="141"/>
      <c r="C1093" s="141"/>
      <c r="D1093" s="142"/>
      <c r="E1093" s="142"/>
      <c r="F1093" s="142"/>
      <c r="G1093" s="141"/>
      <c r="H1093" s="141"/>
      <c r="I1093" s="141"/>
      <c r="J1093" s="141"/>
      <c r="K1093" s="141"/>
      <c r="L1093" s="142"/>
      <c r="M1093" s="143"/>
      <c r="N1093" s="143"/>
      <c r="O1093" s="143"/>
      <c r="P1093" s="143"/>
      <c r="Q1093" s="104">
        <f t="shared" si="57"/>
        <v>0</v>
      </c>
      <c r="R1093" s="129"/>
      <c r="S1093" s="66">
        <f t="shared" si="58"/>
        <v>0</v>
      </c>
    </row>
    <row r="1094" spans="1:19" ht="15" x14ac:dyDescent="0.25">
      <c r="A1094" s="141"/>
      <c r="B1094" s="141"/>
      <c r="C1094" s="141"/>
      <c r="D1094" s="142"/>
      <c r="E1094" s="142"/>
      <c r="F1094" s="142"/>
      <c r="G1094" s="141"/>
      <c r="H1094" s="141"/>
      <c r="I1094" s="141"/>
      <c r="J1094" s="141"/>
      <c r="K1094" s="141"/>
      <c r="L1094" s="142"/>
      <c r="M1094" s="143"/>
      <c r="N1094" s="143"/>
      <c r="O1094" s="143"/>
      <c r="P1094" s="143"/>
      <c r="Q1094" s="104">
        <f t="shared" si="57"/>
        <v>0</v>
      </c>
      <c r="R1094" s="129"/>
      <c r="S1094" s="66">
        <f t="shared" si="58"/>
        <v>0</v>
      </c>
    </row>
    <row r="1095" spans="1:19" ht="15" x14ac:dyDescent="0.25">
      <c r="A1095" s="141"/>
      <c r="B1095" s="141"/>
      <c r="C1095" s="141"/>
      <c r="D1095" s="142"/>
      <c r="E1095" s="142"/>
      <c r="F1095" s="142"/>
      <c r="G1095" s="141"/>
      <c r="H1095" s="141"/>
      <c r="I1095" s="141"/>
      <c r="J1095" s="141"/>
      <c r="K1095" s="141"/>
      <c r="L1095" s="142"/>
      <c r="M1095" s="143"/>
      <c r="N1095" s="143"/>
      <c r="O1095" s="143"/>
      <c r="P1095" s="143"/>
      <c r="Q1095" s="104">
        <f t="shared" si="57"/>
        <v>0</v>
      </c>
      <c r="R1095" s="129"/>
      <c r="S1095" s="66">
        <f t="shared" si="58"/>
        <v>0</v>
      </c>
    </row>
    <row r="1096" spans="1:19" ht="15" x14ac:dyDescent="0.25">
      <c r="A1096" s="141"/>
      <c r="B1096" s="141"/>
      <c r="C1096" s="141"/>
      <c r="D1096" s="142"/>
      <c r="E1096" s="142"/>
      <c r="F1096" s="142"/>
      <c r="G1096" s="141"/>
      <c r="H1096" s="141"/>
      <c r="I1096" s="141"/>
      <c r="J1096" s="141"/>
      <c r="K1096" s="141"/>
      <c r="L1096" s="142"/>
      <c r="M1096" s="143"/>
      <c r="N1096" s="143"/>
      <c r="O1096" s="143"/>
      <c r="P1096" s="143"/>
      <c r="Q1096" s="104">
        <f t="shared" ref="Q1096:Q1123" si="60">M1096-P1096</f>
        <v>0</v>
      </c>
      <c r="R1096" s="129"/>
      <c r="S1096" s="66">
        <f t="shared" si="58"/>
        <v>0</v>
      </c>
    </row>
    <row r="1097" spans="1:19" ht="15" x14ac:dyDescent="0.25">
      <c r="A1097" s="141"/>
      <c r="B1097" s="141"/>
      <c r="C1097" s="141"/>
      <c r="D1097" s="142"/>
      <c r="E1097" s="142"/>
      <c r="F1097" s="142"/>
      <c r="G1097" s="141"/>
      <c r="H1097" s="141"/>
      <c r="I1097" s="141"/>
      <c r="J1097" s="141"/>
      <c r="K1097" s="141"/>
      <c r="L1097" s="142"/>
      <c r="M1097" s="143"/>
      <c r="N1097" s="143"/>
      <c r="O1097" s="143"/>
      <c r="P1097" s="143"/>
      <c r="Q1097" s="104">
        <f t="shared" si="60"/>
        <v>0</v>
      </c>
      <c r="R1097" s="129"/>
      <c r="S1097" s="66">
        <f t="shared" ref="S1097:S1123" si="61">M1097*$S$7*1.141</f>
        <v>0</v>
      </c>
    </row>
    <row r="1098" spans="1:19" ht="15" x14ac:dyDescent="0.25">
      <c r="A1098" s="141"/>
      <c r="B1098" s="141"/>
      <c r="C1098" s="141"/>
      <c r="D1098" s="142"/>
      <c r="E1098" s="142"/>
      <c r="F1098" s="142"/>
      <c r="G1098" s="141"/>
      <c r="H1098" s="141"/>
      <c r="I1098" s="141"/>
      <c r="J1098" s="141"/>
      <c r="K1098" s="141"/>
      <c r="L1098" s="142"/>
      <c r="M1098" s="143"/>
      <c r="N1098" s="143"/>
      <c r="O1098" s="143"/>
      <c r="P1098" s="143"/>
      <c r="Q1098" s="104">
        <f t="shared" si="60"/>
        <v>0</v>
      </c>
      <c r="R1098" s="129"/>
      <c r="S1098" s="66">
        <f t="shared" si="61"/>
        <v>0</v>
      </c>
    </row>
    <row r="1099" spans="1:19" ht="15" x14ac:dyDescent="0.25">
      <c r="A1099" s="141"/>
      <c r="B1099" s="141"/>
      <c r="C1099" s="141"/>
      <c r="D1099" s="142"/>
      <c r="E1099" s="142"/>
      <c r="F1099" s="142"/>
      <c r="G1099" s="141"/>
      <c r="H1099" s="141"/>
      <c r="I1099" s="141"/>
      <c r="J1099" s="141"/>
      <c r="K1099" s="141"/>
      <c r="L1099" s="142"/>
      <c r="M1099" s="143"/>
      <c r="N1099" s="143"/>
      <c r="O1099" s="143"/>
      <c r="P1099" s="143"/>
      <c r="Q1099" s="104">
        <f t="shared" si="60"/>
        <v>0</v>
      </c>
      <c r="R1099" s="129"/>
      <c r="S1099" s="66">
        <f t="shared" si="61"/>
        <v>0</v>
      </c>
    </row>
    <row r="1100" spans="1:19" ht="15" x14ac:dyDescent="0.25">
      <c r="A1100" s="141"/>
      <c r="B1100" s="141"/>
      <c r="C1100" s="141"/>
      <c r="D1100" s="142"/>
      <c r="E1100" s="142"/>
      <c r="F1100" s="142"/>
      <c r="G1100" s="141"/>
      <c r="H1100" s="141"/>
      <c r="I1100" s="141"/>
      <c r="J1100" s="141"/>
      <c r="K1100" s="141"/>
      <c r="L1100" s="142"/>
      <c r="M1100" s="143"/>
      <c r="N1100" s="143"/>
      <c r="O1100" s="143"/>
      <c r="P1100" s="143"/>
      <c r="Q1100" s="104">
        <f t="shared" si="60"/>
        <v>0</v>
      </c>
      <c r="R1100" s="129"/>
      <c r="S1100" s="66">
        <f t="shared" si="61"/>
        <v>0</v>
      </c>
    </row>
    <row r="1101" spans="1:19" ht="15" x14ac:dyDescent="0.25">
      <c r="A1101" s="141"/>
      <c r="B1101" s="141"/>
      <c r="C1101" s="141"/>
      <c r="D1101" s="142"/>
      <c r="E1101" s="142"/>
      <c r="F1101" s="142"/>
      <c r="G1101" s="141"/>
      <c r="H1101" s="141"/>
      <c r="I1101" s="141"/>
      <c r="J1101" s="141"/>
      <c r="K1101" s="141"/>
      <c r="L1101" s="142"/>
      <c r="M1101" s="143"/>
      <c r="N1101" s="143"/>
      <c r="O1101" s="143"/>
      <c r="P1101" s="143"/>
      <c r="Q1101" s="104">
        <f t="shared" si="60"/>
        <v>0</v>
      </c>
      <c r="R1101" s="129"/>
      <c r="S1101" s="66">
        <f t="shared" si="61"/>
        <v>0</v>
      </c>
    </row>
    <row r="1102" spans="1:19" x14ac:dyDescent="0.2">
      <c r="G1102" s="103"/>
      <c r="M1102" s="104"/>
      <c r="N1102" s="104"/>
      <c r="O1102" s="104"/>
      <c r="P1102" s="104"/>
      <c r="Q1102" s="104">
        <f t="shared" si="60"/>
        <v>0</v>
      </c>
      <c r="R1102" s="129"/>
      <c r="S1102" s="66">
        <f t="shared" si="61"/>
        <v>0</v>
      </c>
    </row>
    <row r="1103" spans="1:19" x14ac:dyDescent="0.2">
      <c r="G1103" s="103"/>
      <c r="M1103" s="104"/>
      <c r="N1103" s="104"/>
      <c r="O1103" s="104"/>
      <c r="P1103" s="104"/>
      <c r="Q1103" s="104">
        <f t="shared" si="60"/>
        <v>0</v>
      </c>
      <c r="R1103" s="129"/>
      <c r="S1103" s="66">
        <f t="shared" si="61"/>
        <v>0</v>
      </c>
    </row>
    <row r="1104" spans="1:19" x14ac:dyDescent="0.2">
      <c r="G1104" s="103"/>
      <c r="M1104" s="104"/>
      <c r="N1104" s="104"/>
      <c r="O1104" s="104"/>
      <c r="P1104" s="104"/>
      <c r="Q1104" s="104">
        <f t="shared" si="60"/>
        <v>0</v>
      </c>
      <c r="R1104" s="129"/>
      <c r="S1104" s="66">
        <f t="shared" si="61"/>
        <v>0</v>
      </c>
    </row>
    <row r="1105" spans="7:19" x14ac:dyDescent="0.2">
      <c r="G1105" s="103"/>
      <c r="M1105" s="104"/>
      <c r="N1105" s="104"/>
      <c r="O1105" s="104"/>
      <c r="P1105" s="104"/>
      <c r="Q1105" s="104">
        <f t="shared" si="60"/>
        <v>0</v>
      </c>
      <c r="R1105" s="129"/>
      <c r="S1105" s="66">
        <f t="shared" si="61"/>
        <v>0</v>
      </c>
    </row>
    <row r="1106" spans="7:19" x14ac:dyDescent="0.2">
      <c r="G1106" s="103"/>
      <c r="M1106" s="104"/>
      <c r="N1106" s="104"/>
      <c r="O1106" s="104"/>
      <c r="P1106" s="104"/>
      <c r="Q1106" s="104">
        <f t="shared" si="60"/>
        <v>0</v>
      </c>
      <c r="R1106" s="129"/>
      <c r="S1106" s="66">
        <f t="shared" si="61"/>
        <v>0</v>
      </c>
    </row>
    <row r="1107" spans="7:19" x14ac:dyDescent="0.2">
      <c r="G1107" s="103"/>
      <c r="M1107" s="104"/>
      <c r="N1107" s="104"/>
      <c r="O1107" s="104"/>
      <c r="P1107" s="104"/>
      <c r="Q1107" s="104">
        <f t="shared" si="60"/>
        <v>0</v>
      </c>
      <c r="R1107" s="129"/>
      <c r="S1107" s="66">
        <f t="shared" si="61"/>
        <v>0</v>
      </c>
    </row>
    <row r="1108" spans="7:19" x14ac:dyDescent="0.2">
      <c r="G1108" s="103"/>
      <c r="M1108" s="104"/>
      <c r="N1108" s="104"/>
      <c r="O1108" s="104"/>
      <c r="P1108" s="104"/>
      <c r="Q1108" s="104">
        <f t="shared" si="60"/>
        <v>0</v>
      </c>
      <c r="R1108" s="129"/>
      <c r="S1108" s="66">
        <f t="shared" si="61"/>
        <v>0</v>
      </c>
    </row>
    <row r="1109" spans="7:19" x14ac:dyDescent="0.2">
      <c r="G1109" s="103"/>
      <c r="M1109" s="104"/>
      <c r="N1109" s="104"/>
      <c r="O1109" s="104"/>
      <c r="P1109" s="104"/>
      <c r="Q1109" s="104">
        <f t="shared" si="60"/>
        <v>0</v>
      </c>
      <c r="R1109" s="129"/>
      <c r="S1109" s="66">
        <f t="shared" si="61"/>
        <v>0</v>
      </c>
    </row>
    <row r="1110" spans="7:19" x14ac:dyDescent="0.2">
      <c r="G1110" s="103"/>
      <c r="M1110" s="104"/>
      <c r="N1110" s="104"/>
      <c r="O1110" s="104"/>
      <c r="P1110" s="104"/>
      <c r="Q1110" s="104">
        <f t="shared" si="60"/>
        <v>0</v>
      </c>
      <c r="R1110" s="129"/>
      <c r="S1110" s="66">
        <f t="shared" si="61"/>
        <v>0</v>
      </c>
    </row>
    <row r="1111" spans="7:19" x14ac:dyDescent="0.2">
      <c r="G1111" s="103"/>
      <c r="M1111" s="104"/>
      <c r="N1111" s="104"/>
      <c r="O1111" s="104"/>
      <c r="P1111" s="104"/>
      <c r="Q1111" s="104">
        <f t="shared" si="60"/>
        <v>0</v>
      </c>
      <c r="R1111" s="129"/>
      <c r="S1111" s="66">
        <f t="shared" si="61"/>
        <v>0</v>
      </c>
    </row>
    <row r="1112" spans="7:19" x14ac:dyDescent="0.2">
      <c r="G1112" s="103"/>
      <c r="M1112" s="104"/>
      <c r="N1112" s="104"/>
      <c r="O1112" s="104"/>
      <c r="P1112" s="104"/>
      <c r="Q1112" s="104">
        <f t="shared" si="60"/>
        <v>0</v>
      </c>
      <c r="R1112" s="129"/>
      <c r="S1112" s="66">
        <f t="shared" si="61"/>
        <v>0</v>
      </c>
    </row>
    <row r="1113" spans="7:19" x14ac:dyDescent="0.2">
      <c r="G1113" s="103"/>
      <c r="M1113" s="104"/>
      <c r="N1113" s="104"/>
      <c r="O1113" s="104"/>
      <c r="P1113" s="104"/>
      <c r="Q1113" s="104">
        <f t="shared" si="60"/>
        <v>0</v>
      </c>
      <c r="R1113" s="129"/>
      <c r="S1113" s="66">
        <f t="shared" si="61"/>
        <v>0</v>
      </c>
    </row>
    <row r="1114" spans="7:19" x14ac:dyDescent="0.2">
      <c r="G1114" s="103"/>
      <c r="M1114" s="104"/>
      <c r="N1114" s="104"/>
      <c r="O1114" s="104"/>
      <c r="P1114" s="104"/>
      <c r="Q1114" s="104">
        <f t="shared" si="60"/>
        <v>0</v>
      </c>
      <c r="R1114" s="129"/>
      <c r="S1114" s="66">
        <f t="shared" si="61"/>
        <v>0</v>
      </c>
    </row>
    <row r="1115" spans="7:19" x14ac:dyDescent="0.2">
      <c r="G1115" s="103"/>
      <c r="M1115" s="104"/>
      <c r="N1115" s="104"/>
      <c r="O1115" s="104"/>
      <c r="P1115" s="104"/>
      <c r="Q1115" s="104">
        <f t="shared" si="60"/>
        <v>0</v>
      </c>
      <c r="R1115" s="129"/>
      <c r="S1115" s="66">
        <f t="shared" si="61"/>
        <v>0</v>
      </c>
    </row>
    <row r="1116" spans="7:19" x14ac:dyDescent="0.2">
      <c r="G1116" s="103"/>
      <c r="M1116" s="104"/>
      <c r="N1116" s="104"/>
      <c r="O1116" s="104"/>
      <c r="P1116" s="104"/>
      <c r="Q1116" s="104">
        <f t="shared" si="60"/>
        <v>0</v>
      </c>
      <c r="R1116" s="129"/>
      <c r="S1116" s="66">
        <f t="shared" si="61"/>
        <v>0</v>
      </c>
    </row>
    <row r="1117" spans="7:19" x14ac:dyDescent="0.2">
      <c r="G1117" s="103"/>
      <c r="M1117" s="104"/>
      <c r="N1117" s="104"/>
      <c r="O1117" s="104"/>
      <c r="P1117" s="104"/>
      <c r="Q1117" s="104">
        <f t="shared" si="60"/>
        <v>0</v>
      </c>
      <c r="R1117" s="129"/>
      <c r="S1117" s="66">
        <f t="shared" si="61"/>
        <v>0</v>
      </c>
    </row>
    <row r="1118" spans="7:19" x14ac:dyDescent="0.2">
      <c r="G1118" s="103"/>
      <c r="M1118" s="104"/>
      <c r="N1118" s="104"/>
      <c r="O1118" s="104"/>
      <c r="P1118" s="104"/>
      <c r="Q1118" s="104">
        <f t="shared" si="60"/>
        <v>0</v>
      </c>
      <c r="R1118" s="129"/>
      <c r="S1118" s="66">
        <f t="shared" si="61"/>
        <v>0</v>
      </c>
    </row>
    <row r="1119" spans="7:19" x14ac:dyDescent="0.2">
      <c r="G1119" s="103"/>
      <c r="M1119" s="104"/>
      <c r="N1119" s="104"/>
      <c r="O1119" s="104"/>
      <c r="P1119" s="104"/>
      <c r="Q1119" s="104">
        <f t="shared" si="60"/>
        <v>0</v>
      </c>
      <c r="R1119" s="129"/>
      <c r="S1119" s="66">
        <f t="shared" si="61"/>
        <v>0</v>
      </c>
    </row>
    <row r="1120" spans="7:19" x14ac:dyDescent="0.2">
      <c r="G1120" s="103"/>
      <c r="M1120" s="104"/>
      <c r="N1120" s="104"/>
      <c r="O1120" s="104"/>
      <c r="P1120" s="104"/>
      <c r="Q1120" s="104">
        <f t="shared" si="60"/>
        <v>0</v>
      </c>
      <c r="R1120" s="129"/>
      <c r="S1120" s="66">
        <f t="shared" si="61"/>
        <v>0</v>
      </c>
    </row>
    <row r="1121" spans="7:19" x14ac:dyDescent="0.2">
      <c r="G1121" s="103"/>
      <c r="M1121" s="104"/>
      <c r="N1121" s="104"/>
      <c r="O1121" s="104"/>
      <c r="P1121" s="104"/>
      <c r="Q1121" s="104">
        <f t="shared" si="60"/>
        <v>0</v>
      </c>
      <c r="R1121" s="129"/>
      <c r="S1121" s="66">
        <f t="shared" si="61"/>
        <v>0</v>
      </c>
    </row>
    <row r="1122" spans="7:19" x14ac:dyDescent="0.2">
      <c r="G1122" s="103"/>
      <c r="M1122" s="104"/>
      <c r="N1122" s="104"/>
      <c r="O1122" s="104"/>
      <c r="P1122" s="104"/>
      <c r="Q1122" s="104">
        <f t="shared" si="60"/>
        <v>0</v>
      </c>
      <c r="R1122" s="129"/>
      <c r="S1122" s="66">
        <f t="shared" si="61"/>
        <v>0</v>
      </c>
    </row>
    <row r="1123" spans="7:19" x14ac:dyDescent="0.2">
      <c r="G1123" s="103"/>
      <c r="M1123" s="104"/>
      <c r="N1123" s="104"/>
      <c r="O1123" s="104"/>
      <c r="P1123" s="104"/>
      <c r="Q1123" s="104">
        <f t="shared" si="60"/>
        <v>0</v>
      </c>
      <c r="R1123" s="129"/>
      <c r="S1123" s="66">
        <f t="shared" si="61"/>
        <v>0</v>
      </c>
    </row>
    <row r="1124" spans="7:19" x14ac:dyDescent="0.2">
      <c r="R1124" s="129"/>
    </row>
    <row r="1125" spans="7:19" x14ac:dyDescent="0.2">
      <c r="R1125" s="129"/>
    </row>
    <row r="1126" spans="7:19" x14ac:dyDescent="0.2">
      <c r="R1126" s="129"/>
    </row>
    <row r="1127" spans="7:19" x14ac:dyDescent="0.2">
      <c r="R1127" s="129"/>
      <c r="S1127" s="129"/>
    </row>
    <row r="1128" spans="7:19" x14ac:dyDescent="0.2">
      <c r="R1128" s="129"/>
      <c r="S1128" s="129"/>
    </row>
    <row r="1129" spans="7:19" x14ac:dyDescent="0.2">
      <c r="R1129" s="129"/>
      <c r="S1129" s="129"/>
    </row>
    <row r="1130" spans="7:19" x14ac:dyDescent="0.2">
      <c r="R1130" s="129"/>
      <c r="S1130" s="129"/>
    </row>
    <row r="1131" spans="7:19" x14ac:dyDescent="0.2">
      <c r="R1131" s="129"/>
      <c r="S1131" s="129"/>
    </row>
    <row r="1132" spans="7:19" x14ac:dyDescent="0.2">
      <c r="R1132" s="129"/>
      <c r="S1132" s="129"/>
    </row>
    <row r="1133" spans="7:19" x14ac:dyDescent="0.2">
      <c r="R1133" s="129"/>
      <c r="S1133" s="129"/>
    </row>
    <row r="1134" spans="7:19" x14ac:dyDescent="0.2">
      <c r="R1134" s="129"/>
      <c r="S1134" s="129"/>
    </row>
    <row r="1135" spans="7:19" x14ac:dyDescent="0.2">
      <c r="R1135" s="129"/>
      <c r="S1135" s="129"/>
    </row>
    <row r="1136" spans="7:19" x14ac:dyDescent="0.2">
      <c r="R1136" s="129"/>
      <c r="S1136" s="129"/>
    </row>
    <row r="1137" spans="18:19" x14ac:dyDescent="0.2">
      <c r="R1137" s="129"/>
      <c r="S1137" s="129"/>
    </row>
    <row r="1138" spans="18:19" x14ac:dyDescent="0.2">
      <c r="R1138" s="129"/>
      <c r="S1138" s="129"/>
    </row>
    <row r="1139" spans="18:19" x14ac:dyDescent="0.2">
      <c r="R1139" s="129"/>
      <c r="S1139" s="129"/>
    </row>
    <row r="1140" spans="18:19" x14ac:dyDescent="0.2">
      <c r="R1140" s="129"/>
      <c r="S1140" s="129"/>
    </row>
    <row r="1141" spans="18:19" x14ac:dyDescent="0.2">
      <c r="R1141" s="129"/>
      <c r="S1141" s="129"/>
    </row>
    <row r="1142" spans="18:19" x14ac:dyDescent="0.2">
      <c r="R1142" s="129"/>
      <c r="S1142" s="129"/>
    </row>
    <row r="1143" spans="18:19" x14ac:dyDescent="0.2">
      <c r="R1143" s="129"/>
      <c r="S1143" s="129"/>
    </row>
    <row r="1144" spans="18:19" x14ac:dyDescent="0.2">
      <c r="R1144" s="129"/>
      <c r="S1144" s="129"/>
    </row>
    <row r="1145" spans="18:19" x14ac:dyDescent="0.2">
      <c r="R1145" s="129"/>
      <c r="S1145" s="129"/>
    </row>
    <row r="1146" spans="18:19" x14ac:dyDescent="0.2">
      <c r="R1146" s="129"/>
      <c r="S1146" s="129"/>
    </row>
    <row r="1147" spans="18:19" x14ac:dyDescent="0.2">
      <c r="R1147" s="129"/>
      <c r="S1147" s="129"/>
    </row>
    <row r="1148" spans="18:19" x14ac:dyDescent="0.2">
      <c r="R1148" s="129"/>
      <c r="S1148" s="129"/>
    </row>
    <row r="1149" spans="18:19" x14ac:dyDescent="0.2">
      <c r="R1149" s="129"/>
      <c r="S1149" s="129"/>
    </row>
    <row r="1150" spans="18:19" x14ac:dyDescent="0.2">
      <c r="R1150" s="129"/>
      <c r="S1150" s="129"/>
    </row>
    <row r="1151" spans="18:19" x14ac:dyDescent="0.2">
      <c r="R1151" s="129"/>
      <c r="S1151" s="129"/>
    </row>
    <row r="1152" spans="18:19" x14ac:dyDescent="0.2">
      <c r="R1152" s="129"/>
      <c r="S1152" s="129"/>
    </row>
    <row r="1153" spans="18:19" x14ac:dyDescent="0.2">
      <c r="R1153" s="129"/>
      <c r="S1153" s="129"/>
    </row>
    <row r="1154" spans="18:19" x14ac:dyDescent="0.2">
      <c r="R1154" s="129"/>
      <c r="S1154" s="129"/>
    </row>
    <row r="1155" spans="18:19" x14ac:dyDescent="0.2">
      <c r="R1155" s="129"/>
      <c r="S1155" s="129"/>
    </row>
    <row r="1156" spans="18:19" x14ac:dyDescent="0.2">
      <c r="R1156" s="129"/>
      <c r="S1156" s="129"/>
    </row>
    <row r="1157" spans="18:19" x14ac:dyDescent="0.2">
      <c r="R1157" s="129"/>
      <c r="S1157" s="129"/>
    </row>
    <row r="1158" spans="18:19" x14ac:dyDescent="0.2">
      <c r="R1158" s="129"/>
      <c r="S1158" s="129"/>
    </row>
    <row r="1159" spans="18:19" x14ac:dyDescent="0.2">
      <c r="R1159" s="129"/>
      <c r="S1159" s="129"/>
    </row>
    <row r="1160" spans="18:19" x14ac:dyDescent="0.2">
      <c r="R1160" s="129"/>
      <c r="S1160" s="129"/>
    </row>
    <row r="1161" spans="18:19" x14ac:dyDescent="0.2">
      <c r="R1161" s="129"/>
      <c r="S1161" s="129"/>
    </row>
    <row r="1162" spans="18:19" x14ac:dyDescent="0.2">
      <c r="R1162" s="129"/>
      <c r="S1162" s="129"/>
    </row>
    <row r="1163" spans="18:19" x14ac:dyDescent="0.2">
      <c r="R1163" s="129"/>
      <c r="S1163" s="129"/>
    </row>
    <row r="1164" spans="18:19" x14ac:dyDescent="0.2">
      <c r="R1164" s="129"/>
      <c r="S1164" s="129"/>
    </row>
    <row r="1165" spans="18:19" x14ac:dyDescent="0.2">
      <c r="R1165" s="129"/>
      <c r="S1165" s="129"/>
    </row>
    <row r="1166" spans="18:19" x14ac:dyDescent="0.2">
      <c r="R1166" s="129"/>
      <c r="S1166" s="129"/>
    </row>
    <row r="1167" spans="18:19" x14ac:dyDescent="0.2">
      <c r="R1167" s="129"/>
      <c r="S1167" s="129"/>
    </row>
    <row r="1168" spans="18:19" x14ac:dyDescent="0.2">
      <c r="R1168" s="129"/>
      <c r="S1168" s="129"/>
    </row>
    <row r="1169" spans="18:19" x14ac:dyDescent="0.2">
      <c r="R1169" s="129"/>
      <c r="S1169" s="129"/>
    </row>
    <row r="1170" spans="18:19" x14ac:dyDescent="0.2">
      <c r="R1170" s="129"/>
      <c r="S1170" s="129"/>
    </row>
    <row r="1171" spans="18:19" x14ac:dyDescent="0.2">
      <c r="R1171" s="129"/>
      <c r="S1171" s="129"/>
    </row>
    <row r="1172" spans="18:19" x14ac:dyDescent="0.2">
      <c r="R1172" s="129"/>
      <c r="S1172" s="129"/>
    </row>
    <row r="1173" spans="18:19" x14ac:dyDescent="0.2">
      <c r="R1173" s="129"/>
      <c r="S1173" s="129"/>
    </row>
    <row r="1174" spans="18:19" x14ac:dyDescent="0.2">
      <c r="R1174" s="129"/>
      <c r="S1174" s="129"/>
    </row>
    <row r="1175" spans="18:19" x14ac:dyDescent="0.2">
      <c r="R1175" s="129"/>
      <c r="S1175" s="129"/>
    </row>
    <row r="1176" spans="18:19" x14ac:dyDescent="0.2">
      <c r="R1176" s="129"/>
      <c r="S1176" s="129"/>
    </row>
    <row r="1177" spans="18:19" x14ac:dyDescent="0.2">
      <c r="R1177" s="129"/>
      <c r="S1177" s="129"/>
    </row>
    <row r="1178" spans="18:19" x14ac:dyDescent="0.2">
      <c r="R1178" s="129"/>
      <c r="S1178" s="129"/>
    </row>
    <row r="1179" spans="18:19" x14ac:dyDescent="0.2">
      <c r="R1179" s="129"/>
      <c r="S1179" s="129"/>
    </row>
    <row r="1180" spans="18:19" x14ac:dyDescent="0.2">
      <c r="R1180" s="129"/>
      <c r="S1180" s="129"/>
    </row>
    <row r="1181" spans="18:19" x14ac:dyDescent="0.2">
      <c r="R1181" s="129"/>
      <c r="S1181" s="129"/>
    </row>
    <row r="1182" spans="18:19" x14ac:dyDescent="0.2">
      <c r="R1182" s="129"/>
      <c r="S1182" s="129"/>
    </row>
    <row r="1183" spans="18:19" x14ac:dyDescent="0.2">
      <c r="R1183" s="129"/>
      <c r="S1183" s="129"/>
    </row>
    <row r="1184" spans="18:19" x14ac:dyDescent="0.2">
      <c r="R1184" s="129"/>
      <c r="S1184" s="129"/>
    </row>
    <row r="1185" spans="18:19" x14ac:dyDescent="0.2">
      <c r="R1185" s="129"/>
      <c r="S1185" s="129"/>
    </row>
    <row r="1186" spans="18:19" x14ac:dyDescent="0.2">
      <c r="R1186" s="129"/>
      <c r="S1186" s="129"/>
    </row>
    <row r="1187" spans="18:19" x14ac:dyDescent="0.2">
      <c r="R1187" s="129"/>
      <c r="S1187" s="129"/>
    </row>
    <row r="1188" spans="18:19" x14ac:dyDescent="0.2">
      <c r="R1188" s="129"/>
      <c r="S1188" s="129"/>
    </row>
    <row r="1189" spans="18:19" x14ac:dyDescent="0.2">
      <c r="R1189" s="129"/>
      <c r="S1189" s="129"/>
    </row>
    <row r="1190" spans="18:19" x14ac:dyDescent="0.2">
      <c r="R1190" s="129"/>
      <c r="S1190" s="129"/>
    </row>
    <row r="1191" spans="18:19" x14ac:dyDescent="0.2">
      <c r="R1191" s="129"/>
      <c r="S1191" s="129"/>
    </row>
    <row r="1192" spans="18:19" x14ac:dyDescent="0.2">
      <c r="R1192" s="129"/>
      <c r="S1192" s="129"/>
    </row>
    <row r="1193" spans="18:19" x14ac:dyDescent="0.2">
      <c r="R1193" s="129"/>
      <c r="S1193" s="129"/>
    </row>
    <row r="1194" spans="18:19" x14ac:dyDescent="0.2">
      <c r="R1194" s="129"/>
      <c r="S1194" s="129"/>
    </row>
    <row r="1195" spans="18:19" x14ac:dyDescent="0.2">
      <c r="R1195" s="129"/>
      <c r="S1195" s="129"/>
    </row>
    <row r="1196" spans="18:19" x14ac:dyDescent="0.2">
      <c r="R1196" s="129"/>
      <c r="S1196" s="129"/>
    </row>
    <row r="1197" spans="18:19" x14ac:dyDescent="0.2">
      <c r="R1197" s="129"/>
      <c r="S1197" s="129"/>
    </row>
    <row r="1198" spans="18:19" x14ac:dyDescent="0.2">
      <c r="R1198" s="129"/>
      <c r="S1198" s="129"/>
    </row>
    <row r="1199" spans="18:19" x14ac:dyDescent="0.2">
      <c r="R1199" s="129"/>
      <c r="S1199" s="129"/>
    </row>
    <row r="1200" spans="18:19" x14ac:dyDescent="0.2">
      <c r="R1200" s="129"/>
      <c r="S1200" s="129"/>
    </row>
    <row r="1201" spans="18:19" x14ac:dyDescent="0.2">
      <c r="R1201" s="129"/>
      <c r="S1201" s="129"/>
    </row>
    <row r="1202" spans="18:19" x14ac:dyDescent="0.2">
      <c r="R1202" s="129"/>
      <c r="S1202" s="129"/>
    </row>
    <row r="1203" spans="18:19" x14ac:dyDescent="0.2">
      <c r="R1203" s="129"/>
      <c r="S1203" s="129"/>
    </row>
    <row r="1204" spans="18:19" x14ac:dyDescent="0.2">
      <c r="R1204" s="129"/>
      <c r="S1204" s="129"/>
    </row>
    <row r="1205" spans="18:19" x14ac:dyDescent="0.2">
      <c r="R1205" s="129"/>
      <c r="S1205" s="129"/>
    </row>
    <row r="1206" spans="18:19" x14ac:dyDescent="0.2">
      <c r="R1206" s="129"/>
      <c r="S1206" s="129"/>
    </row>
    <row r="1207" spans="18:19" x14ac:dyDescent="0.2">
      <c r="R1207" s="129"/>
      <c r="S1207" s="129"/>
    </row>
    <row r="1208" spans="18:19" x14ac:dyDescent="0.2">
      <c r="R1208" s="129"/>
      <c r="S1208" s="129"/>
    </row>
    <row r="1209" spans="18:19" x14ac:dyDescent="0.2">
      <c r="R1209" s="129"/>
      <c r="S1209" s="129"/>
    </row>
    <row r="1210" spans="18:19" x14ac:dyDescent="0.2">
      <c r="R1210" s="129"/>
      <c r="S1210" s="129"/>
    </row>
    <row r="1211" spans="18:19" x14ac:dyDescent="0.2">
      <c r="R1211" s="129"/>
      <c r="S1211" s="129"/>
    </row>
    <row r="1212" spans="18:19" x14ac:dyDescent="0.2">
      <c r="R1212" s="129"/>
      <c r="S1212" s="129"/>
    </row>
    <row r="1213" spans="18:19" x14ac:dyDescent="0.2">
      <c r="R1213" s="129"/>
      <c r="S1213" s="129"/>
    </row>
    <row r="1214" spans="18:19" x14ac:dyDescent="0.2">
      <c r="R1214" s="129"/>
      <c r="S1214" s="129"/>
    </row>
    <row r="1215" spans="18:19" x14ac:dyDescent="0.2">
      <c r="R1215" s="129"/>
      <c r="S1215" s="129"/>
    </row>
    <row r="1216" spans="18:19" x14ac:dyDescent="0.2">
      <c r="R1216" s="129"/>
      <c r="S1216" s="129"/>
    </row>
    <row r="1217" spans="18:19" x14ac:dyDescent="0.2">
      <c r="R1217" s="129"/>
      <c r="S1217" s="129"/>
    </row>
    <row r="1218" spans="18:19" x14ac:dyDescent="0.2">
      <c r="R1218" s="129"/>
      <c r="S1218" s="129"/>
    </row>
    <row r="1219" spans="18:19" x14ac:dyDescent="0.2">
      <c r="R1219" s="129"/>
      <c r="S1219" s="129"/>
    </row>
    <row r="1220" spans="18:19" x14ac:dyDescent="0.2">
      <c r="R1220" s="129"/>
      <c r="S1220" s="129"/>
    </row>
    <row r="1221" spans="18:19" x14ac:dyDescent="0.2">
      <c r="R1221" s="129"/>
      <c r="S1221" s="129"/>
    </row>
    <row r="1222" spans="18:19" x14ac:dyDescent="0.2">
      <c r="R1222" s="129"/>
      <c r="S1222" s="129"/>
    </row>
    <row r="1223" spans="18:19" x14ac:dyDescent="0.2">
      <c r="R1223" s="129"/>
      <c r="S1223" s="129"/>
    </row>
    <row r="1224" spans="18:19" x14ac:dyDescent="0.2">
      <c r="R1224" s="129"/>
      <c r="S1224" s="129"/>
    </row>
    <row r="1225" spans="18:19" x14ac:dyDescent="0.2">
      <c r="R1225" s="129"/>
      <c r="S1225" s="129"/>
    </row>
    <row r="1226" spans="18:19" x14ac:dyDescent="0.2">
      <c r="R1226" s="129"/>
      <c r="S1226" s="129"/>
    </row>
    <row r="1227" spans="18:19" x14ac:dyDescent="0.2">
      <c r="R1227" s="129"/>
      <c r="S1227" s="129"/>
    </row>
    <row r="1228" spans="18:19" x14ac:dyDescent="0.2">
      <c r="R1228" s="129"/>
      <c r="S1228" s="129"/>
    </row>
    <row r="1229" spans="18:19" x14ac:dyDescent="0.2">
      <c r="R1229" s="129"/>
      <c r="S1229" s="129"/>
    </row>
    <row r="1230" spans="18:19" x14ac:dyDescent="0.2">
      <c r="R1230" s="129"/>
      <c r="S1230" s="129"/>
    </row>
    <row r="1231" spans="18:19" x14ac:dyDescent="0.2">
      <c r="R1231" s="129"/>
      <c r="S1231" s="129"/>
    </row>
    <row r="1232" spans="18:19" x14ac:dyDescent="0.2">
      <c r="R1232" s="129"/>
      <c r="S1232" s="129"/>
    </row>
    <row r="1233" spans="18:19" x14ac:dyDescent="0.2">
      <c r="R1233" s="129"/>
      <c r="S1233" s="129"/>
    </row>
    <row r="1234" spans="18:19" x14ac:dyDescent="0.2">
      <c r="R1234" s="129"/>
      <c r="S1234" s="129"/>
    </row>
    <row r="1235" spans="18:19" x14ac:dyDescent="0.2">
      <c r="R1235" s="129"/>
      <c r="S1235" s="129"/>
    </row>
    <row r="1236" spans="18:19" x14ac:dyDescent="0.2">
      <c r="R1236" s="129"/>
      <c r="S1236" s="129"/>
    </row>
    <row r="1237" spans="18:19" x14ac:dyDescent="0.2">
      <c r="R1237" s="129"/>
      <c r="S1237" s="129"/>
    </row>
    <row r="1238" spans="18:19" x14ac:dyDescent="0.2">
      <c r="R1238" s="129"/>
      <c r="S1238" s="129"/>
    </row>
    <row r="1239" spans="18:19" x14ac:dyDescent="0.2">
      <c r="R1239" s="129"/>
      <c r="S1239" s="129"/>
    </row>
    <row r="1240" spans="18:19" x14ac:dyDescent="0.2">
      <c r="R1240" s="129"/>
      <c r="S1240" s="129"/>
    </row>
    <row r="1241" spans="18:19" x14ac:dyDescent="0.2">
      <c r="R1241" s="129"/>
      <c r="S1241" s="129"/>
    </row>
    <row r="1242" spans="18:19" x14ac:dyDescent="0.2">
      <c r="R1242" s="129"/>
      <c r="S1242" s="129"/>
    </row>
    <row r="1243" spans="18:19" x14ac:dyDescent="0.2">
      <c r="R1243" s="129"/>
      <c r="S1243" s="129"/>
    </row>
    <row r="1244" spans="18:19" x14ac:dyDescent="0.2">
      <c r="R1244" s="129"/>
      <c r="S1244" s="129"/>
    </row>
    <row r="1245" spans="18:19" x14ac:dyDescent="0.2">
      <c r="R1245" s="129"/>
      <c r="S1245" s="129"/>
    </row>
    <row r="1246" spans="18:19" x14ac:dyDescent="0.2">
      <c r="R1246" s="129"/>
      <c r="S1246" s="129"/>
    </row>
    <row r="1247" spans="18:19" x14ac:dyDescent="0.2">
      <c r="R1247" s="129"/>
      <c r="S1247" s="129"/>
    </row>
    <row r="1248" spans="18:19" x14ac:dyDescent="0.2">
      <c r="R1248" s="129"/>
      <c r="S1248" s="129"/>
    </row>
    <row r="1249" spans="18:19" x14ac:dyDescent="0.2">
      <c r="R1249" s="129"/>
      <c r="S1249" s="129"/>
    </row>
    <row r="1250" spans="18:19" x14ac:dyDescent="0.2">
      <c r="R1250" s="129"/>
      <c r="S1250" s="129"/>
    </row>
    <row r="1251" spans="18:19" x14ac:dyDescent="0.2">
      <c r="R1251" s="129"/>
      <c r="S1251" s="129"/>
    </row>
    <row r="1252" spans="18:19" x14ac:dyDescent="0.2">
      <c r="R1252" s="129"/>
      <c r="S1252" s="129"/>
    </row>
    <row r="1253" spans="18:19" x14ac:dyDescent="0.2">
      <c r="R1253" s="129"/>
      <c r="S1253" s="129"/>
    </row>
    <row r="1254" spans="18:19" x14ac:dyDescent="0.2">
      <c r="R1254" s="129"/>
      <c r="S1254" s="129"/>
    </row>
    <row r="1255" spans="18:19" x14ac:dyDescent="0.2">
      <c r="R1255" s="129"/>
      <c r="S1255" s="129"/>
    </row>
    <row r="1256" spans="18:19" x14ac:dyDescent="0.2">
      <c r="R1256" s="129"/>
      <c r="S1256" s="129"/>
    </row>
    <row r="1257" spans="18:19" x14ac:dyDescent="0.2">
      <c r="R1257" s="129"/>
      <c r="S1257" s="129"/>
    </row>
    <row r="1258" spans="18:19" x14ac:dyDescent="0.2">
      <c r="R1258" s="129"/>
      <c r="S1258" s="129"/>
    </row>
    <row r="1259" spans="18:19" x14ac:dyDescent="0.2">
      <c r="R1259" s="129"/>
      <c r="S1259" s="129"/>
    </row>
    <row r="1260" spans="18:19" x14ac:dyDescent="0.2">
      <c r="R1260" s="129"/>
      <c r="S1260" s="129"/>
    </row>
    <row r="1261" spans="18:19" x14ac:dyDescent="0.2">
      <c r="R1261" s="129"/>
      <c r="S1261" s="129"/>
    </row>
    <row r="1262" spans="18:19" x14ac:dyDescent="0.2">
      <c r="R1262" s="129"/>
      <c r="S1262" s="129"/>
    </row>
    <row r="1263" spans="18:19" x14ac:dyDescent="0.2">
      <c r="R1263" s="129"/>
      <c r="S1263" s="129"/>
    </row>
    <row r="1264" spans="18:19" x14ac:dyDescent="0.2">
      <c r="R1264" s="129"/>
      <c r="S1264" s="129"/>
    </row>
    <row r="1265" spans="18:19" x14ac:dyDescent="0.2">
      <c r="R1265" s="129"/>
      <c r="S1265" s="129"/>
    </row>
    <row r="1266" spans="18:19" x14ac:dyDescent="0.2">
      <c r="R1266" s="129"/>
      <c r="S1266" s="129"/>
    </row>
    <row r="1267" spans="18:19" x14ac:dyDescent="0.2">
      <c r="R1267" s="129"/>
      <c r="S1267" s="129"/>
    </row>
    <row r="1268" spans="18:19" x14ac:dyDescent="0.2">
      <c r="R1268" s="129"/>
      <c r="S1268" s="129"/>
    </row>
    <row r="1269" spans="18:19" x14ac:dyDescent="0.2">
      <c r="R1269" s="129"/>
      <c r="S1269" s="129"/>
    </row>
    <row r="1270" spans="18:19" x14ac:dyDescent="0.2">
      <c r="R1270" s="129"/>
      <c r="S1270" s="129"/>
    </row>
    <row r="1271" spans="18:19" x14ac:dyDescent="0.2">
      <c r="R1271" s="129"/>
      <c r="S1271" s="129"/>
    </row>
    <row r="1272" spans="18:19" x14ac:dyDescent="0.2">
      <c r="R1272" s="129"/>
      <c r="S1272" s="129"/>
    </row>
    <row r="1273" spans="18:19" x14ac:dyDescent="0.2">
      <c r="R1273" s="129"/>
      <c r="S1273" s="129"/>
    </row>
    <row r="1274" spans="18:19" x14ac:dyDescent="0.2">
      <c r="R1274" s="129"/>
      <c r="S1274" s="129"/>
    </row>
    <row r="1275" spans="18:19" x14ac:dyDescent="0.2">
      <c r="R1275" s="129"/>
      <c r="S1275" s="129"/>
    </row>
    <row r="1276" spans="18:19" x14ac:dyDescent="0.2">
      <c r="R1276" s="129"/>
      <c r="S1276" s="129"/>
    </row>
    <row r="1277" spans="18:19" x14ac:dyDescent="0.2">
      <c r="R1277" s="129"/>
      <c r="S1277" s="129"/>
    </row>
    <row r="1278" spans="18:19" x14ac:dyDescent="0.2">
      <c r="R1278" s="129"/>
      <c r="S1278" s="129"/>
    </row>
    <row r="1279" spans="18:19" x14ac:dyDescent="0.2">
      <c r="R1279" s="129"/>
      <c r="S1279" s="129"/>
    </row>
    <row r="1280" spans="18:19" x14ac:dyDescent="0.2">
      <c r="R1280" s="129"/>
      <c r="S1280" s="129"/>
    </row>
    <row r="1281" spans="18:19" x14ac:dyDescent="0.2">
      <c r="R1281" s="129"/>
      <c r="S1281" s="129"/>
    </row>
    <row r="1282" spans="18:19" x14ac:dyDescent="0.2">
      <c r="R1282" s="129"/>
      <c r="S1282" s="129"/>
    </row>
    <row r="1283" spans="18:19" x14ac:dyDescent="0.2">
      <c r="R1283" s="129"/>
      <c r="S1283" s="129"/>
    </row>
    <row r="1284" spans="18:19" x14ac:dyDescent="0.2">
      <c r="R1284" s="129"/>
      <c r="S1284" s="129"/>
    </row>
    <row r="1285" spans="18:19" x14ac:dyDescent="0.2">
      <c r="R1285" s="129"/>
      <c r="S1285" s="129"/>
    </row>
    <row r="1286" spans="18:19" x14ac:dyDescent="0.2">
      <c r="R1286" s="129"/>
      <c r="S1286" s="129"/>
    </row>
    <row r="1287" spans="18:19" x14ac:dyDescent="0.2">
      <c r="R1287" s="129"/>
      <c r="S1287" s="129"/>
    </row>
    <row r="1288" spans="18:19" x14ac:dyDescent="0.2">
      <c r="R1288" s="129"/>
      <c r="S1288" s="129"/>
    </row>
    <row r="1289" spans="18:19" x14ac:dyDescent="0.2">
      <c r="R1289" s="129"/>
      <c r="S1289" s="129"/>
    </row>
    <row r="1290" spans="18:19" x14ac:dyDescent="0.2">
      <c r="R1290" s="129"/>
      <c r="S1290" s="129"/>
    </row>
    <row r="1291" spans="18:19" x14ac:dyDescent="0.2">
      <c r="R1291" s="129"/>
      <c r="S1291" s="129"/>
    </row>
    <row r="1292" spans="18:19" x14ac:dyDescent="0.2">
      <c r="R1292" s="129"/>
      <c r="S1292" s="129"/>
    </row>
    <row r="1293" spans="18:19" x14ac:dyDescent="0.2">
      <c r="R1293" s="129"/>
      <c r="S1293" s="129"/>
    </row>
    <row r="1294" spans="18:19" x14ac:dyDescent="0.2">
      <c r="R1294" s="129"/>
      <c r="S1294" s="129"/>
    </row>
    <row r="1295" spans="18:19" x14ac:dyDescent="0.2">
      <c r="R1295" s="129"/>
      <c r="S1295" s="129"/>
    </row>
    <row r="1296" spans="18:19" x14ac:dyDescent="0.2">
      <c r="R1296" s="129"/>
      <c r="S1296" s="129"/>
    </row>
    <row r="1297" spans="18:19" x14ac:dyDescent="0.2">
      <c r="R1297" s="129"/>
      <c r="S1297" s="129"/>
    </row>
    <row r="1298" spans="18:19" x14ac:dyDescent="0.2">
      <c r="R1298" s="129"/>
      <c r="S1298" s="129"/>
    </row>
    <row r="1299" spans="18:19" x14ac:dyDescent="0.2">
      <c r="R1299" s="129"/>
      <c r="S1299" s="129"/>
    </row>
    <row r="1300" spans="18:19" x14ac:dyDescent="0.2">
      <c r="R1300" s="129"/>
      <c r="S1300" s="129"/>
    </row>
    <row r="1301" spans="18:19" x14ac:dyDescent="0.2">
      <c r="R1301" s="129"/>
      <c r="S1301" s="129"/>
    </row>
    <row r="1302" spans="18:19" x14ac:dyDescent="0.2">
      <c r="R1302" s="129"/>
      <c r="S1302" s="129"/>
    </row>
    <row r="1303" spans="18:19" x14ac:dyDescent="0.2">
      <c r="R1303" s="129"/>
      <c r="S1303" s="129"/>
    </row>
    <row r="1304" spans="18:19" x14ac:dyDescent="0.2">
      <c r="R1304" s="129"/>
      <c r="S1304" s="129"/>
    </row>
    <row r="1305" spans="18:19" x14ac:dyDescent="0.2">
      <c r="R1305" s="129"/>
      <c r="S1305" s="129"/>
    </row>
    <row r="1306" spans="18:19" x14ac:dyDescent="0.2">
      <c r="R1306" s="129"/>
      <c r="S1306" s="129"/>
    </row>
    <row r="1307" spans="18:19" x14ac:dyDescent="0.2">
      <c r="R1307" s="129"/>
      <c r="S1307" s="129"/>
    </row>
    <row r="1308" spans="18:19" x14ac:dyDescent="0.2">
      <c r="R1308" s="129"/>
      <c r="S1308" s="129"/>
    </row>
    <row r="1309" spans="18:19" x14ac:dyDescent="0.2">
      <c r="R1309" s="129"/>
      <c r="S1309" s="129"/>
    </row>
    <row r="1310" spans="18:19" x14ac:dyDescent="0.2">
      <c r="R1310" s="129"/>
      <c r="S1310" s="129"/>
    </row>
    <row r="1311" spans="18:19" x14ac:dyDescent="0.2">
      <c r="R1311" s="129"/>
      <c r="S1311" s="129"/>
    </row>
    <row r="1312" spans="18:19" x14ac:dyDescent="0.2">
      <c r="R1312" s="129"/>
      <c r="S1312" s="129"/>
    </row>
    <row r="1313" spans="18:19" x14ac:dyDescent="0.2">
      <c r="R1313" s="129"/>
      <c r="S1313" s="129"/>
    </row>
    <row r="1314" spans="18:19" x14ac:dyDescent="0.2">
      <c r="R1314" s="129"/>
      <c r="S1314" s="129"/>
    </row>
    <row r="1315" spans="18:19" x14ac:dyDescent="0.2">
      <c r="R1315" s="129"/>
      <c r="S1315" s="129"/>
    </row>
    <row r="1316" spans="18:19" x14ac:dyDescent="0.2">
      <c r="R1316" s="129"/>
      <c r="S1316" s="129"/>
    </row>
    <row r="1317" spans="18:19" x14ac:dyDescent="0.2">
      <c r="R1317" s="129"/>
      <c r="S1317" s="129"/>
    </row>
    <row r="1318" spans="18:19" x14ac:dyDescent="0.2">
      <c r="R1318" s="129"/>
      <c r="S1318" s="129"/>
    </row>
    <row r="1319" spans="18:19" x14ac:dyDescent="0.2">
      <c r="R1319" s="129"/>
      <c r="S1319" s="129"/>
    </row>
    <row r="1320" spans="18:19" x14ac:dyDescent="0.2">
      <c r="R1320" s="129"/>
      <c r="S1320" s="129"/>
    </row>
    <row r="1321" spans="18:19" x14ac:dyDescent="0.2">
      <c r="R1321" s="129"/>
      <c r="S1321" s="129"/>
    </row>
    <row r="1322" spans="18:19" x14ac:dyDescent="0.2">
      <c r="R1322" s="129"/>
      <c r="S1322" s="129"/>
    </row>
    <row r="1323" spans="18:19" x14ac:dyDescent="0.2">
      <c r="R1323" s="129"/>
      <c r="S1323" s="129"/>
    </row>
    <row r="1324" spans="18:19" x14ac:dyDescent="0.2">
      <c r="R1324" s="129"/>
      <c r="S1324" s="129"/>
    </row>
    <row r="1325" spans="18:19" x14ac:dyDescent="0.2">
      <c r="R1325" s="129"/>
      <c r="S1325" s="129"/>
    </row>
    <row r="1326" spans="18:19" x14ac:dyDescent="0.2">
      <c r="R1326" s="129"/>
      <c r="S1326" s="129"/>
    </row>
    <row r="1327" spans="18:19" x14ac:dyDescent="0.2">
      <c r="R1327" s="129"/>
      <c r="S1327" s="129"/>
    </row>
    <row r="1328" spans="18:19" x14ac:dyDescent="0.2">
      <c r="R1328" s="129"/>
      <c r="S1328" s="129"/>
    </row>
    <row r="1329" spans="18:19" x14ac:dyDescent="0.2">
      <c r="R1329" s="129"/>
      <c r="S1329" s="129"/>
    </row>
    <row r="1330" spans="18:19" x14ac:dyDescent="0.2">
      <c r="R1330" s="129"/>
      <c r="S1330" s="129"/>
    </row>
    <row r="1331" spans="18:19" x14ac:dyDescent="0.2">
      <c r="R1331" s="129"/>
      <c r="S1331" s="129"/>
    </row>
    <row r="1332" spans="18:19" x14ac:dyDescent="0.2">
      <c r="R1332" s="129"/>
      <c r="S1332" s="129"/>
    </row>
    <row r="1333" spans="18:19" x14ac:dyDescent="0.2">
      <c r="R1333" s="129"/>
      <c r="S1333" s="129"/>
    </row>
    <row r="1334" spans="18:19" x14ac:dyDescent="0.2">
      <c r="R1334" s="129"/>
      <c r="S1334" s="129"/>
    </row>
    <row r="1335" spans="18:19" x14ac:dyDescent="0.2">
      <c r="R1335" s="129"/>
      <c r="S1335" s="129"/>
    </row>
    <row r="1336" spans="18:19" x14ac:dyDescent="0.2">
      <c r="R1336" s="129"/>
      <c r="S1336" s="129"/>
    </row>
    <row r="1337" spans="18:19" x14ac:dyDescent="0.2">
      <c r="R1337" s="129"/>
      <c r="S1337" s="129"/>
    </row>
    <row r="1338" spans="18:19" x14ac:dyDescent="0.2">
      <c r="R1338" s="129"/>
      <c r="S1338" s="129"/>
    </row>
    <row r="1339" spans="18:19" x14ac:dyDescent="0.2">
      <c r="R1339" s="129"/>
      <c r="S1339" s="129"/>
    </row>
    <row r="1340" spans="18:19" x14ac:dyDescent="0.2">
      <c r="R1340" s="129"/>
      <c r="S1340" s="129"/>
    </row>
    <row r="1341" spans="18:19" x14ac:dyDescent="0.2">
      <c r="R1341" s="129"/>
      <c r="S1341" s="129"/>
    </row>
    <row r="1342" spans="18:19" x14ac:dyDescent="0.2">
      <c r="R1342" s="129"/>
      <c r="S1342" s="129"/>
    </row>
    <row r="1343" spans="18:19" x14ac:dyDescent="0.2">
      <c r="R1343" s="129"/>
      <c r="S1343" s="129"/>
    </row>
    <row r="1344" spans="18:19" x14ac:dyDescent="0.2">
      <c r="R1344" s="129"/>
      <c r="S1344" s="129"/>
    </row>
    <row r="1345" spans="18:19" x14ac:dyDescent="0.2">
      <c r="R1345" s="129"/>
      <c r="S1345" s="129"/>
    </row>
    <row r="1346" spans="18:19" x14ac:dyDescent="0.2">
      <c r="R1346" s="129"/>
      <c r="S1346" s="129"/>
    </row>
    <row r="1347" spans="18:19" x14ac:dyDescent="0.2">
      <c r="R1347" s="129"/>
      <c r="S1347" s="129"/>
    </row>
    <row r="1348" spans="18:19" x14ac:dyDescent="0.2">
      <c r="R1348" s="129"/>
      <c r="S1348" s="129"/>
    </row>
    <row r="1349" spans="18:19" x14ac:dyDescent="0.2">
      <c r="R1349" s="129"/>
      <c r="S1349" s="129"/>
    </row>
    <row r="1350" spans="18:19" x14ac:dyDescent="0.2">
      <c r="R1350" s="129"/>
      <c r="S1350" s="129"/>
    </row>
    <row r="1351" spans="18:19" x14ac:dyDescent="0.2">
      <c r="R1351" s="129"/>
      <c r="S1351" s="129"/>
    </row>
    <row r="1352" spans="18:19" x14ac:dyDescent="0.2">
      <c r="R1352" s="129"/>
      <c r="S1352" s="129"/>
    </row>
    <row r="1353" spans="18:19" x14ac:dyDescent="0.2">
      <c r="R1353" s="129"/>
      <c r="S1353" s="129"/>
    </row>
    <row r="1354" spans="18:19" x14ac:dyDescent="0.2">
      <c r="R1354" s="129"/>
      <c r="S1354" s="129"/>
    </row>
    <row r="1355" spans="18:19" x14ac:dyDescent="0.2">
      <c r="R1355" s="129"/>
      <c r="S1355" s="129"/>
    </row>
    <row r="1356" spans="18:19" x14ac:dyDescent="0.2">
      <c r="R1356" s="129"/>
      <c r="S1356" s="129"/>
    </row>
    <row r="1357" spans="18:19" x14ac:dyDescent="0.2">
      <c r="R1357" s="129"/>
      <c r="S1357" s="129"/>
    </row>
    <row r="1358" spans="18:19" x14ac:dyDescent="0.2">
      <c r="R1358" s="129"/>
      <c r="S1358" s="129"/>
    </row>
    <row r="1359" spans="18:19" x14ac:dyDescent="0.2">
      <c r="R1359" s="129"/>
      <c r="S1359" s="129"/>
    </row>
    <row r="1360" spans="18:19" x14ac:dyDescent="0.2">
      <c r="R1360" s="129"/>
      <c r="S1360" s="129"/>
    </row>
    <row r="1361" spans="18:19" x14ac:dyDescent="0.2">
      <c r="R1361" s="129"/>
      <c r="S1361" s="129"/>
    </row>
    <row r="1362" spans="18:19" x14ac:dyDescent="0.2">
      <c r="R1362" s="129"/>
      <c r="S1362" s="129"/>
    </row>
    <row r="1363" spans="18:19" x14ac:dyDescent="0.2">
      <c r="R1363" s="129"/>
      <c r="S1363" s="129"/>
    </row>
    <row r="1364" spans="18:19" x14ac:dyDescent="0.2">
      <c r="R1364" s="129"/>
      <c r="S1364" s="129"/>
    </row>
    <row r="1365" spans="18:19" x14ac:dyDescent="0.2">
      <c r="R1365" s="129"/>
      <c r="S1365" s="129"/>
    </row>
    <row r="1366" spans="18:19" x14ac:dyDescent="0.2">
      <c r="R1366" s="129"/>
      <c r="S1366" s="129"/>
    </row>
    <row r="1367" spans="18:19" x14ac:dyDescent="0.2">
      <c r="R1367" s="129"/>
      <c r="S1367" s="129"/>
    </row>
    <row r="1368" spans="18:19" x14ac:dyDescent="0.2">
      <c r="R1368" s="129"/>
      <c r="S1368" s="129"/>
    </row>
    <row r="1369" spans="18:19" x14ac:dyDescent="0.2">
      <c r="R1369" s="129"/>
      <c r="S1369" s="129"/>
    </row>
    <row r="1370" spans="18:19" x14ac:dyDescent="0.2">
      <c r="R1370" s="129"/>
      <c r="S1370" s="129"/>
    </row>
    <row r="1371" spans="18:19" x14ac:dyDescent="0.2">
      <c r="R1371" s="129"/>
      <c r="S1371" s="129"/>
    </row>
    <row r="1372" spans="18:19" x14ac:dyDescent="0.2">
      <c r="R1372" s="129"/>
      <c r="S1372" s="129"/>
    </row>
    <row r="1373" spans="18:19" x14ac:dyDescent="0.2">
      <c r="R1373" s="129"/>
      <c r="S1373" s="129"/>
    </row>
    <row r="1374" spans="18:19" x14ac:dyDescent="0.2">
      <c r="R1374" s="129"/>
      <c r="S1374" s="129"/>
    </row>
    <row r="1375" spans="18:19" x14ac:dyDescent="0.2">
      <c r="R1375" s="129"/>
      <c r="S1375" s="129"/>
    </row>
    <row r="1376" spans="18:19" x14ac:dyDescent="0.2">
      <c r="R1376" s="129"/>
      <c r="S1376" s="129"/>
    </row>
    <row r="1377" spans="18:19" x14ac:dyDescent="0.2">
      <c r="R1377" s="129"/>
      <c r="S1377" s="129"/>
    </row>
    <row r="1378" spans="18:19" x14ac:dyDescent="0.2">
      <c r="R1378" s="129"/>
      <c r="S1378" s="129"/>
    </row>
    <row r="1379" spans="18:19" x14ac:dyDescent="0.2">
      <c r="R1379" s="129"/>
      <c r="S1379" s="129"/>
    </row>
    <row r="1380" spans="18:19" x14ac:dyDescent="0.2">
      <c r="R1380" s="129"/>
      <c r="S1380" s="129"/>
    </row>
    <row r="1381" spans="18:19" x14ac:dyDescent="0.2">
      <c r="R1381" s="129"/>
      <c r="S1381" s="129"/>
    </row>
    <row r="1382" spans="18:19" x14ac:dyDescent="0.2">
      <c r="R1382" s="129"/>
      <c r="S1382" s="129"/>
    </row>
    <row r="1383" spans="18:19" x14ac:dyDescent="0.2">
      <c r="R1383" s="129"/>
      <c r="S1383" s="129"/>
    </row>
    <row r="1384" spans="18:19" x14ac:dyDescent="0.2">
      <c r="R1384" s="129"/>
      <c r="S1384" s="129"/>
    </row>
    <row r="1385" spans="18:19" x14ac:dyDescent="0.2">
      <c r="R1385" s="129"/>
      <c r="S1385" s="129"/>
    </row>
    <row r="1386" spans="18:19" x14ac:dyDescent="0.2">
      <c r="R1386" s="129"/>
      <c r="S1386" s="129"/>
    </row>
    <row r="1387" spans="18:19" x14ac:dyDescent="0.2">
      <c r="R1387" s="129"/>
      <c r="S1387" s="129"/>
    </row>
    <row r="1388" spans="18:19" x14ac:dyDescent="0.2">
      <c r="R1388" s="129"/>
      <c r="S1388" s="129"/>
    </row>
    <row r="1389" spans="18:19" x14ac:dyDescent="0.2">
      <c r="R1389" s="129"/>
      <c r="S1389" s="129"/>
    </row>
    <row r="1390" spans="18:19" x14ac:dyDescent="0.2">
      <c r="R1390" s="129"/>
      <c r="S1390" s="129"/>
    </row>
    <row r="1391" spans="18:19" x14ac:dyDescent="0.2">
      <c r="R1391" s="129"/>
      <c r="S1391" s="129"/>
    </row>
    <row r="1392" spans="18:19" x14ac:dyDescent="0.2">
      <c r="R1392" s="129"/>
      <c r="S1392" s="129"/>
    </row>
    <row r="1393" spans="18:19" x14ac:dyDescent="0.2">
      <c r="R1393" s="129"/>
      <c r="S1393" s="129"/>
    </row>
    <row r="1394" spans="18:19" x14ac:dyDescent="0.2">
      <c r="R1394" s="129"/>
      <c r="S1394" s="129"/>
    </row>
    <row r="1395" spans="18:19" x14ac:dyDescent="0.2">
      <c r="R1395" s="129"/>
      <c r="S1395" s="129"/>
    </row>
    <row r="1396" spans="18:19" x14ac:dyDescent="0.2">
      <c r="R1396" s="129"/>
      <c r="S1396" s="129"/>
    </row>
    <row r="1397" spans="18:19" x14ac:dyDescent="0.2">
      <c r="R1397" s="129"/>
      <c r="S1397" s="129"/>
    </row>
    <row r="1398" spans="18:19" x14ac:dyDescent="0.2">
      <c r="R1398" s="129"/>
      <c r="S1398" s="129"/>
    </row>
    <row r="1399" spans="18:19" x14ac:dyDescent="0.2">
      <c r="R1399" s="129"/>
      <c r="S1399" s="129"/>
    </row>
    <row r="1400" spans="18:19" x14ac:dyDescent="0.2">
      <c r="R1400" s="129"/>
      <c r="S1400" s="129"/>
    </row>
    <row r="1401" spans="18:19" x14ac:dyDescent="0.2">
      <c r="R1401" s="129"/>
      <c r="S1401" s="129"/>
    </row>
    <row r="1402" spans="18:19" x14ac:dyDescent="0.2">
      <c r="R1402" s="129"/>
      <c r="S1402" s="129"/>
    </row>
    <row r="1403" spans="18:19" x14ac:dyDescent="0.2">
      <c r="R1403" s="129"/>
      <c r="S1403" s="129"/>
    </row>
    <row r="1404" spans="18:19" x14ac:dyDescent="0.2">
      <c r="R1404" s="129"/>
      <c r="S1404" s="129"/>
    </row>
    <row r="1405" spans="18:19" x14ac:dyDescent="0.2">
      <c r="R1405" s="129"/>
      <c r="S1405" s="129"/>
    </row>
    <row r="1406" spans="18:19" x14ac:dyDescent="0.2">
      <c r="R1406" s="129"/>
      <c r="S1406" s="129"/>
    </row>
    <row r="1407" spans="18:19" x14ac:dyDescent="0.2">
      <c r="R1407" s="129"/>
      <c r="S1407" s="129"/>
    </row>
    <row r="1408" spans="18:19" x14ac:dyDescent="0.2">
      <c r="R1408" s="129"/>
      <c r="S1408" s="129"/>
    </row>
    <row r="1409" spans="18:19" x14ac:dyDescent="0.2">
      <c r="R1409" s="129"/>
      <c r="S1409" s="129"/>
    </row>
    <row r="1410" spans="18:19" x14ac:dyDescent="0.2">
      <c r="R1410" s="129"/>
      <c r="S1410" s="129"/>
    </row>
    <row r="1411" spans="18:19" x14ac:dyDescent="0.2">
      <c r="R1411" s="129"/>
      <c r="S1411" s="129"/>
    </row>
    <row r="1412" spans="18:19" x14ac:dyDescent="0.2">
      <c r="R1412" s="129"/>
      <c r="S1412" s="129"/>
    </row>
    <row r="1413" spans="18:19" x14ac:dyDescent="0.2">
      <c r="R1413" s="129"/>
      <c r="S1413" s="129"/>
    </row>
    <row r="1414" spans="18:19" x14ac:dyDescent="0.2">
      <c r="R1414" s="129"/>
      <c r="S1414" s="129"/>
    </row>
    <row r="1415" spans="18:19" x14ac:dyDescent="0.2">
      <c r="R1415" s="129"/>
      <c r="S1415" s="129"/>
    </row>
    <row r="1416" spans="18:19" x14ac:dyDescent="0.2">
      <c r="R1416" s="129"/>
      <c r="S1416" s="129"/>
    </row>
    <row r="1417" spans="18:19" x14ac:dyDescent="0.2">
      <c r="R1417" s="129"/>
      <c r="S1417" s="129"/>
    </row>
    <row r="1418" spans="18:19" x14ac:dyDescent="0.2">
      <c r="R1418" s="129"/>
      <c r="S1418" s="129"/>
    </row>
    <row r="1419" spans="18:19" x14ac:dyDescent="0.2">
      <c r="R1419" s="129"/>
      <c r="S1419" s="129"/>
    </row>
    <row r="1420" spans="18:19" x14ac:dyDescent="0.2">
      <c r="R1420" s="129"/>
      <c r="S1420" s="129"/>
    </row>
    <row r="1421" spans="18:19" x14ac:dyDescent="0.2">
      <c r="R1421" s="129"/>
      <c r="S1421" s="129"/>
    </row>
    <row r="1422" spans="18:19" x14ac:dyDescent="0.2">
      <c r="R1422" s="129"/>
      <c r="S1422" s="129"/>
    </row>
    <row r="1423" spans="18:19" x14ac:dyDescent="0.2">
      <c r="R1423" s="129"/>
      <c r="S1423" s="129"/>
    </row>
    <row r="1424" spans="18:19" x14ac:dyDescent="0.2">
      <c r="R1424" s="129"/>
      <c r="S1424" s="129"/>
    </row>
    <row r="1425" spans="18:19" x14ac:dyDescent="0.2">
      <c r="R1425" s="129"/>
      <c r="S1425" s="129"/>
    </row>
    <row r="1426" spans="18:19" x14ac:dyDescent="0.2">
      <c r="R1426" s="129"/>
      <c r="S1426" s="129"/>
    </row>
    <row r="1427" spans="18:19" x14ac:dyDescent="0.2">
      <c r="R1427" s="129"/>
      <c r="S1427" s="129"/>
    </row>
    <row r="1428" spans="18:19" x14ac:dyDescent="0.2">
      <c r="R1428" s="129"/>
      <c r="S1428" s="129"/>
    </row>
    <row r="1429" spans="18:19" x14ac:dyDescent="0.2">
      <c r="R1429" s="129"/>
      <c r="S1429" s="129"/>
    </row>
    <row r="1430" spans="18:19" x14ac:dyDescent="0.2">
      <c r="R1430" s="129"/>
      <c r="S1430" s="129"/>
    </row>
    <row r="1431" spans="18:19" x14ac:dyDescent="0.2">
      <c r="R1431" s="129"/>
      <c r="S1431" s="129"/>
    </row>
    <row r="1432" spans="18:19" x14ac:dyDescent="0.2">
      <c r="R1432" s="129"/>
      <c r="S1432" s="129"/>
    </row>
    <row r="1433" spans="18:19" x14ac:dyDescent="0.2">
      <c r="R1433" s="129"/>
      <c r="S1433" s="129"/>
    </row>
    <row r="1434" spans="18:19" x14ac:dyDescent="0.2">
      <c r="R1434" s="129"/>
      <c r="S1434" s="129"/>
    </row>
    <row r="1435" spans="18:19" x14ac:dyDescent="0.2">
      <c r="R1435" s="129"/>
      <c r="S1435" s="129"/>
    </row>
    <row r="1436" spans="18:19" x14ac:dyDescent="0.2">
      <c r="R1436" s="129"/>
      <c r="S1436" s="129"/>
    </row>
    <row r="1437" spans="18:19" x14ac:dyDescent="0.2">
      <c r="R1437" s="129"/>
      <c r="S1437" s="129"/>
    </row>
    <row r="1438" spans="18:19" x14ac:dyDescent="0.2">
      <c r="R1438" s="129"/>
      <c r="S1438" s="129"/>
    </row>
    <row r="1439" spans="18:19" x14ac:dyDescent="0.2">
      <c r="R1439" s="129"/>
      <c r="S1439" s="129"/>
    </row>
    <row r="1440" spans="18:19" x14ac:dyDescent="0.2">
      <c r="R1440" s="129"/>
      <c r="S1440" s="129"/>
    </row>
    <row r="1441" spans="18:19" x14ac:dyDescent="0.2">
      <c r="R1441" s="129"/>
      <c r="S1441" s="129"/>
    </row>
    <row r="1442" spans="18:19" x14ac:dyDescent="0.2">
      <c r="R1442" s="129"/>
      <c r="S1442" s="129"/>
    </row>
    <row r="1443" spans="18:19" x14ac:dyDescent="0.2">
      <c r="R1443" s="129"/>
      <c r="S1443" s="129"/>
    </row>
    <row r="1444" spans="18:19" x14ac:dyDescent="0.2">
      <c r="R1444" s="129"/>
      <c r="S1444" s="129"/>
    </row>
    <row r="1445" spans="18:19" x14ac:dyDescent="0.2">
      <c r="R1445" s="129"/>
      <c r="S1445" s="129"/>
    </row>
    <row r="1446" spans="18:19" x14ac:dyDescent="0.2">
      <c r="R1446" s="129"/>
      <c r="S1446" s="129"/>
    </row>
    <row r="1447" spans="18:19" x14ac:dyDescent="0.2">
      <c r="R1447" s="129"/>
      <c r="S1447" s="129"/>
    </row>
    <row r="1448" spans="18:19" x14ac:dyDescent="0.2">
      <c r="R1448" s="129"/>
      <c r="S1448" s="129"/>
    </row>
    <row r="1449" spans="18:19" x14ac:dyDescent="0.2">
      <c r="R1449" s="129"/>
      <c r="S1449" s="129"/>
    </row>
    <row r="1450" spans="18:19" x14ac:dyDescent="0.2">
      <c r="R1450" s="129"/>
      <c r="S1450" s="129"/>
    </row>
    <row r="1451" spans="18:19" x14ac:dyDescent="0.2">
      <c r="R1451" s="129"/>
      <c r="S1451" s="129"/>
    </row>
    <row r="1452" spans="18:19" x14ac:dyDescent="0.2">
      <c r="R1452" s="129"/>
      <c r="S1452" s="129"/>
    </row>
    <row r="1453" spans="18:19" x14ac:dyDescent="0.2">
      <c r="R1453" s="129"/>
      <c r="S1453" s="129"/>
    </row>
    <row r="1454" spans="18:19" x14ac:dyDescent="0.2">
      <c r="R1454" s="129"/>
      <c r="S1454" s="129"/>
    </row>
    <row r="1455" spans="18:19" x14ac:dyDescent="0.2">
      <c r="R1455" s="129"/>
      <c r="S1455" s="129"/>
    </row>
    <row r="1456" spans="18:19" x14ac:dyDescent="0.2">
      <c r="R1456" s="129"/>
      <c r="S1456" s="129"/>
    </row>
    <row r="1457" spans="18:19" x14ac:dyDescent="0.2">
      <c r="R1457" s="129"/>
      <c r="S1457" s="129"/>
    </row>
    <row r="1458" spans="18:19" x14ac:dyDescent="0.2">
      <c r="R1458" s="129"/>
      <c r="S1458" s="129"/>
    </row>
    <row r="1459" spans="18:19" x14ac:dyDescent="0.2">
      <c r="R1459" s="129"/>
      <c r="S1459" s="129"/>
    </row>
    <row r="1460" spans="18:19" x14ac:dyDescent="0.2">
      <c r="R1460" s="129"/>
      <c r="S1460" s="129"/>
    </row>
    <row r="1461" spans="18:19" x14ac:dyDescent="0.2">
      <c r="R1461" s="129"/>
      <c r="S1461" s="129"/>
    </row>
    <row r="1462" spans="18:19" x14ac:dyDescent="0.2">
      <c r="R1462" s="129"/>
      <c r="S1462" s="129"/>
    </row>
    <row r="1463" spans="18:19" x14ac:dyDescent="0.2">
      <c r="R1463" s="129"/>
      <c r="S1463" s="129"/>
    </row>
    <row r="1464" spans="18:19" x14ac:dyDescent="0.2">
      <c r="R1464" s="129"/>
      <c r="S1464" s="129"/>
    </row>
    <row r="1465" spans="18:19" x14ac:dyDescent="0.2">
      <c r="R1465" s="129"/>
      <c r="S1465" s="129"/>
    </row>
    <row r="1466" spans="18:19" x14ac:dyDescent="0.2">
      <c r="R1466" s="129"/>
      <c r="S1466" s="129"/>
    </row>
    <row r="1467" spans="18:19" x14ac:dyDescent="0.2">
      <c r="R1467" s="129"/>
      <c r="S1467" s="129"/>
    </row>
    <row r="1468" spans="18:19" x14ac:dyDescent="0.2">
      <c r="R1468" s="129"/>
      <c r="S1468" s="129"/>
    </row>
    <row r="1469" spans="18:19" x14ac:dyDescent="0.2">
      <c r="R1469" s="129"/>
      <c r="S1469" s="129"/>
    </row>
    <row r="1470" spans="18:19" x14ac:dyDescent="0.2">
      <c r="R1470" s="129"/>
      <c r="S1470" s="129"/>
    </row>
    <row r="1471" spans="18:19" x14ac:dyDescent="0.2">
      <c r="R1471" s="129"/>
      <c r="S1471" s="129"/>
    </row>
    <row r="1472" spans="18:19" x14ac:dyDescent="0.2">
      <c r="R1472" s="129"/>
      <c r="S1472" s="129"/>
    </row>
    <row r="1473" spans="18:19" x14ac:dyDescent="0.2">
      <c r="R1473" s="129"/>
      <c r="S1473" s="129"/>
    </row>
    <row r="1474" spans="18:19" x14ac:dyDescent="0.2">
      <c r="R1474" s="129"/>
      <c r="S1474" s="129"/>
    </row>
    <row r="1475" spans="18:19" x14ac:dyDescent="0.2">
      <c r="R1475" s="129"/>
      <c r="S1475" s="129"/>
    </row>
    <row r="1476" spans="18:19" x14ac:dyDescent="0.2">
      <c r="R1476" s="129"/>
      <c r="S1476" s="129"/>
    </row>
    <row r="1477" spans="18:19" x14ac:dyDescent="0.2">
      <c r="R1477" s="129"/>
      <c r="S1477" s="129"/>
    </row>
    <row r="1478" spans="18:19" x14ac:dyDescent="0.2">
      <c r="R1478" s="129"/>
      <c r="S1478" s="129"/>
    </row>
    <row r="1479" spans="18:19" x14ac:dyDescent="0.2">
      <c r="R1479" s="129"/>
      <c r="S1479" s="129"/>
    </row>
    <row r="1480" spans="18:19" x14ac:dyDescent="0.2">
      <c r="R1480" s="129"/>
      <c r="S1480" s="129"/>
    </row>
    <row r="1481" spans="18:19" x14ac:dyDescent="0.2">
      <c r="R1481" s="129"/>
      <c r="S1481" s="129"/>
    </row>
    <row r="1482" spans="18:19" x14ac:dyDescent="0.2">
      <c r="R1482" s="129"/>
      <c r="S1482" s="129"/>
    </row>
    <row r="1483" spans="18:19" x14ac:dyDescent="0.2">
      <c r="R1483" s="129"/>
      <c r="S1483" s="129"/>
    </row>
    <row r="1484" spans="18:19" x14ac:dyDescent="0.2">
      <c r="R1484" s="129"/>
      <c r="S1484" s="129"/>
    </row>
    <row r="1485" spans="18:19" x14ac:dyDescent="0.2">
      <c r="R1485" s="129"/>
      <c r="S1485" s="129"/>
    </row>
    <row r="1486" spans="18:19" x14ac:dyDescent="0.2">
      <c r="R1486" s="129"/>
      <c r="S1486" s="129"/>
    </row>
    <row r="1487" spans="18:19" x14ac:dyDescent="0.2">
      <c r="R1487" s="129"/>
      <c r="S1487" s="129"/>
    </row>
    <row r="1488" spans="18:19" x14ac:dyDescent="0.2">
      <c r="R1488" s="129"/>
      <c r="S1488" s="129"/>
    </row>
    <row r="1489" spans="18:19" x14ac:dyDescent="0.2">
      <c r="R1489" s="129"/>
      <c r="S1489" s="129"/>
    </row>
    <row r="1490" spans="18:19" x14ac:dyDescent="0.2">
      <c r="R1490" s="129"/>
      <c r="S1490" s="129"/>
    </row>
    <row r="1491" spans="18:19" x14ac:dyDescent="0.2">
      <c r="R1491" s="129"/>
      <c r="S1491" s="129"/>
    </row>
    <row r="1492" spans="18:19" x14ac:dyDescent="0.2">
      <c r="R1492" s="129"/>
      <c r="S1492" s="129"/>
    </row>
    <row r="1493" spans="18:19" x14ac:dyDescent="0.2">
      <c r="R1493" s="129"/>
      <c r="S1493" s="129"/>
    </row>
    <row r="1494" spans="18:19" x14ac:dyDescent="0.2">
      <c r="R1494" s="129"/>
      <c r="S1494" s="129"/>
    </row>
    <row r="1495" spans="18:19" x14ac:dyDescent="0.2">
      <c r="R1495" s="129"/>
      <c r="S1495" s="129"/>
    </row>
    <row r="1496" spans="18:19" x14ac:dyDescent="0.2">
      <c r="R1496" s="129"/>
      <c r="S1496" s="129"/>
    </row>
    <row r="1497" spans="18:19" x14ac:dyDescent="0.2">
      <c r="R1497" s="129"/>
      <c r="S1497" s="129"/>
    </row>
    <row r="1498" spans="18:19" x14ac:dyDescent="0.2">
      <c r="R1498" s="129"/>
      <c r="S1498" s="129"/>
    </row>
    <row r="1499" spans="18:19" x14ac:dyDescent="0.2">
      <c r="R1499" s="129"/>
      <c r="S1499" s="129"/>
    </row>
    <row r="1500" spans="18:19" x14ac:dyDescent="0.2">
      <c r="R1500" s="129"/>
      <c r="S1500" s="129"/>
    </row>
    <row r="1501" spans="18:19" x14ac:dyDescent="0.2">
      <c r="R1501" s="129"/>
      <c r="S1501" s="129"/>
    </row>
    <row r="1502" spans="18:19" x14ac:dyDescent="0.2">
      <c r="R1502" s="129"/>
      <c r="S1502" s="129"/>
    </row>
    <row r="1503" spans="18:19" x14ac:dyDescent="0.2">
      <c r="R1503" s="129"/>
      <c r="S1503" s="129"/>
    </row>
    <row r="1504" spans="18:19" x14ac:dyDescent="0.2">
      <c r="R1504" s="129"/>
      <c r="S1504" s="129"/>
    </row>
    <row r="1505" spans="18:19" x14ac:dyDescent="0.2">
      <c r="R1505" s="129"/>
      <c r="S1505" s="129"/>
    </row>
    <row r="1506" spans="18:19" x14ac:dyDescent="0.2">
      <c r="R1506" s="129"/>
      <c r="S1506" s="129"/>
    </row>
    <row r="1507" spans="18:19" x14ac:dyDescent="0.2">
      <c r="R1507" s="129"/>
      <c r="S1507" s="129"/>
    </row>
    <row r="1508" spans="18:19" x14ac:dyDescent="0.2">
      <c r="R1508" s="129"/>
      <c r="S1508" s="129"/>
    </row>
    <row r="1509" spans="18:19" x14ac:dyDescent="0.2">
      <c r="R1509" s="129"/>
      <c r="S1509" s="129"/>
    </row>
    <row r="1510" spans="18:19" x14ac:dyDescent="0.2">
      <c r="R1510" s="129"/>
      <c r="S1510" s="129"/>
    </row>
    <row r="1511" spans="18:19" x14ac:dyDescent="0.2">
      <c r="R1511" s="129"/>
      <c r="S1511" s="129"/>
    </row>
    <row r="1512" spans="18:19" x14ac:dyDescent="0.2">
      <c r="R1512" s="129"/>
      <c r="S1512" s="129"/>
    </row>
    <row r="1513" spans="18:19" x14ac:dyDescent="0.2">
      <c r="R1513" s="129"/>
      <c r="S1513" s="129"/>
    </row>
    <row r="1514" spans="18:19" x14ac:dyDescent="0.2">
      <c r="R1514" s="129"/>
      <c r="S1514" s="129"/>
    </row>
    <row r="1515" spans="18:19" x14ac:dyDescent="0.2">
      <c r="R1515" s="129"/>
      <c r="S1515" s="129"/>
    </row>
    <row r="1516" spans="18:19" x14ac:dyDescent="0.2">
      <c r="R1516" s="129"/>
      <c r="S1516" s="129"/>
    </row>
    <row r="1517" spans="18:19" x14ac:dyDescent="0.2">
      <c r="R1517" s="129"/>
      <c r="S1517" s="129"/>
    </row>
    <row r="1518" spans="18:19" x14ac:dyDescent="0.2">
      <c r="R1518" s="129"/>
      <c r="S1518" s="129"/>
    </row>
    <row r="1519" spans="18:19" x14ac:dyDescent="0.2">
      <c r="R1519" s="129"/>
      <c r="S1519" s="129"/>
    </row>
    <row r="1520" spans="18:19" x14ac:dyDescent="0.2">
      <c r="R1520" s="129"/>
      <c r="S1520" s="129"/>
    </row>
    <row r="1521" spans="18:19" x14ac:dyDescent="0.2">
      <c r="R1521" s="129"/>
      <c r="S1521" s="129"/>
    </row>
    <row r="1522" spans="18:19" x14ac:dyDescent="0.2">
      <c r="R1522" s="129"/>
      <c r="S1522" s="129"/>
    </row>
    <row r="1523" spans="18:19" x14ac:dyDescent="0.2">
      <c r="R1523" s="129"/>
      <c r="S1523" s="129"/>
    </row>
    <row r="1524" spans="18:19" x14ac:dyDescent="0.2">
      <c r="R1524" s="129"/>
      <c r="S1524" s="129"/>
    </row>
    <row r="1525" spans="18:19" x14ac:dyDescent="0.2">
      <c r="R1525" s="129"/>
      <c r="S1525" s="129"/>
    </row>
    <row r="1526" spans="18:19" x14ac:dyDescent="0.2">
      <c r="R1526" s="129"/>
      <c r="S1526" s="129"/>
    </row>
    <row r="1527" spans="18:19" x14ac:dyDescent="0.2">
      <c r="R1527" s="129"/>
      <c r="S1527" s="129"/>
    </row>
    <row r="1528" spans="18:19" x14ac:dyDescent="0.2">
      <c r="R1528" s="129"/>
      <c r="S1528" s="129"/>
    </row>
    <row r="1529" spans="18:19" x14ac:dyDescent="0.2">
      <c r="R1529" s="129"/>
      <c r="S1529" s="129"/>
    </row>
    <row r="1530" spans="18:19" x14ac:dyDescent="0.2">
      <c r="R1530" s="129"/>
      <c r="S1530" s="129"/>
    </row>
    <row r="1531" spans="18:19" x14ac:dyDescent="0.2">
      <c r="R1531" s="129"/>
      <c r="S1531" s="129"/>
    </row>
    <row r="1532" spans="18:19" x14ac:dyDescent="0.2">
      <c r="R1532" s="129"/>
      <c r="S1532" s="129"/>
    </row>
    <row r="1533" spans="18:19" x14ac:dyDescent="0.2">
      <c r="R1533" s="129"/>
      <c r="S1533" s="129"/>
    </row>
    <row r="1534" spans="18:19" x14ac:dyDescent="0.2">
      <c r="R1534" s="129"/>
      <c r="S1534" s="129"/>
    </row>
    <row r="1535" spans="18:19" x14ac:dyDescent="0.2">
      <c r="R1535" s="129"/>
      <c r="S1535" s="129"/>
    </row>
    <row r="1536" spans="18:19" x14ac:dyDescent="0.2">
      <c r="R1536" s="129"/>
      <c r="S1536" s="129"/>
    </row>
    <row r="1537" spans="18:19" x14ac:dyDescent="0.2">
      <c r="R1537" s="129"/>
      <c r="S1537" s="129"/>
    </row>
    <row r="1538" spans="18:19" x14ac:dyDescent="0.2">
      <c r="R1538" s="129"/>
      <c r="S1538" s="129"/>
    </row>
    <row r="1539" spans="18:19" x14ac:dyDescent="0.2">
      <c r="R1539" s="129"/>
      <c r="S1539" s="129"/>
    </row>
    <row r="1540" spans="18:19" x14ac:dyDescent="0.2">
      <c r="R1540" s="129"/>
      <c r="S1540" s="129"/>
    </row>
    <row r="1541" spans="18:19" x14ac:dyDescent="0.2">
      <c r="R1541" s="129"/>
      <c r="S1541" s="129"/>
    </row>
    <row r="1542" spans="18:19" x14ac:dyDescent="0.2">
      <c r="R1542" s="129"/>
      <c r="S1542" s="129"/>
    </row>
    <row r="1543" spans="18:19" x14ac:dyDescent="0.2">
      <c r="R1543" s="129"/>
      <c r="S1543" s="129"/>
    </row>
    <row r="1544" spans="18:19" x14ac:dyDescent="0.2">
      <c r="R1544" s="129"/>
      <c r="S1544" s="129"/>
    </row>
    <row r="1545" spans="18:19" x14ac:dyDescent="0.2">
      <c r="R1545" s="129"/>
      <c r="S1545" s="129"/>
    </row>
    <row r="1546" spans="18:19" x14ac:dyDescent="0.2">
      <c r="R1546" s="129"/>
      <c r="S1546" s="129"/>
    </row>
    <row r="1547" spans="18:19" x14ac:dyDescent="0.2">
      <c r="R1547" s="129"/>
      <c r="S1547" s="129"/>
    </row>
    <row r="1548" spans="18:19" x14ac:dyDescent="0.2">
      <c r="R1548" s="129"/>
      <c r="S1548" s="129"/>
    </row>
    <row r="1549" spans="18:19" x14ac:dyDescent="0.2">
      <c r="R1549" s="129"/>
      <c r="S1549" s="129"/>
    </row>
    <row r="1550" spans="18:19" x14ac:dyDescent="0.2">
      <c r="R1550" s="129"/>
      <c r="S1550" s="129"/>
    </row>
    <row r="1551" spans="18:19" x14ac:dyDescent="0.2">
      <c r="R1551" s="129"/>
      <c r="S1551" s="129"/>
    </row>
    <row r="1552" spans="18:19" x14ac:dyDescent="0.2">
      <c r="R1552" s="129"/>
      <c r="S1552" s="129"/>
    </row>
    <row r="1553" spans="18:19" x14ac:dyDescent="0.2">
      <c r="R1553" s="129"/>
      <c r="S1553" s="129"/>
    </row>
    <row r="1554" spans="18:19" x14ac:dyDescent="0.2">
      <c r="R1554" s="129"/>
      <c r="S1554" s="129"/>
    </row>
    <row r="1555" spans="18:19" x14ac:dyDescent="0.2">
      <c r="R1555" s="129"/>
      <c r="S1555" s="129"/>
    </row>
    <row r="1556" spans="18:19" x14ac:dyDescent="0.2">
      <c r="R1556" s="129"/>
      <c r="S1556" s="129"/>
    </row>
    <row r="1557" spans="18:19" x14ac:dyDescent="0.2">
      <c r="R1557" s="129"/>
      <c r="S1557" s="129"/>
    </row>
    <row r="1558" spans="18:19" x14ac:dyDescent="0.2">
      <c r="R1558" s="129"/>
      <c r="S1558" s="129"/>
    </row>
    <row r="1559" spans="18:19" x14ac:dyDescent="0.2">
      <c r="R1559" s="129"/>
      <c r="S1559" s="129"/>
    </row>
    <row r="1560" spans="18:19" x14ac:dyDescent="0.2">
      <c r="R1560" s="129"/>
      <c r="S1560" s="129"/>
    </row>
    <row r="1561" spans="18:19" x14ac:dyDescent="0.2">
      <c r="R1561" s="129"/>
      <c r="S1561" s="129"/>
    </row>
    <row r="1562" spans="18:19" x14ac:dyDescent="0.2">
      <c r="R1562" s="129"/>
      <c r="S1562" s="129"/>
    </row>
    <row r="1563" spans="18:19" x14ac:dyDescent="0.2">
      <c r="R1563" s="129"/>
      <c r="S1563" s="129"/>
    </row>
    <row r="1564" spans="18:19" x14ac:dyDescent="0.2">
      <c r="R1564" s="129"/>
      <c r="S1564" s="129"/>
    </row>
    <row r="1565" spans="18:19" x14ac:dyDescent="0.2">
      <c r="R1565" s="129"/>
      <c r="S1565" s="129"/>
    </row>
    <row r="1566" spans="18:19" x14ac:dyDescent="0.2">
      <c r="R1566" s="129"/>
      <c r="S1566" s="129"/>
    </row>
    <row r="1567" spans="18:19" x14ac:dyDescent="0.2">
      <c r="R1567" s="129"/>
      <c r="S1567" s="129"/>
    </row>
    <row r="1568" spans="18:19" x14ac:dyDescent="0.2">
      <c r="R1568" s="129"/>
      <c r="S1568" s="129"/>
    </row>
    <row r="1569" spans="18:19" x14ac:dyDescent="0.2">
      <c r="R1569" s="129"/>
      <c r="S1569" s="129"/>
    </row>
    <row r="1570" spans="18:19" x14ac:dyDescent="0.2">
      <c r="R1570" s="129"/>
      <c r="S1570" s="129"/>
    </row>
    <row r="1571" spans="18:19" x14ac:dyDescent="0.2">
      <c r="R1571" s="129"/>
      <c r="S1571" s="129"/>
    </row>
    <row r="1572" spans="18:19" x14ac:dyDescent="0.2">
      <c r="R1572" s="129"/>
      <c r="S1572" s="129"/>
    </row>
    <row r="1573" spans="18:19" x14ac:dyDescent="0.2">
      <c r="R1573" s="129"/>
      <c r="S1573" s="129"/>
    </row>
    <row r="1574" spans="18:19" x14ac:dyDescent="0.2">
      <c r="R1574" s="129"/>
      <c r="S1574" s="129"/>
    </row>
    <row r="1575" spans="18:19" x14ac:dyDescent="0.2">
      <c r="R1575" s="129"/>
      <c r="S1575" s="129"/>
    </row>
    <row r="1576" spans="18:19" x14ac:dyDescent="0.2">
      <c r="R1576" s="129"/>
      <c r="S1576" s="129"/>
    </row>
    <row r="1577" spans="18:19" x14ac:dyDescent="0.2">
      <c r="R1577" s="129"/>
      <c r="S1577" s="129"/>
    </row>
    <row r="1578" spans="18:19" x14ac:dyDescent="0.2">
      <c r="R1578" s="129"/>
      <c r="S1578" s="129"/>
    </row>
    <row r="1579" spans="18:19" x14ac:dyDescent="0.2">
      <c r="R1579" s="129"/>
      <c r="S1579" s="129"/>
    </row>
    <row r="1580" spans="18:19" x14ac:dyDescent="0.2">
      <c r="R1580" s="129"/>
      <c r="S1580" s="129"/>
    </row>
    <row r="1581" spans="18:19" x14ac:dyDescent="0.2">
      <c r="R1581" s="129"/>
      <c r="S1581" s="129"/>
    </row>
    <row r="1582" spans="18:19" x14ac:dyDescent="0.2">
      <c r="R1582" s="129"/>
      <c r="S1582" s="129"/>
    </row>
    <row r="1583" spans="18:19" x14ac:dyDescent="0.2">
      <c r="R1583" s="129"/>
      <c r="S1583" s="129"/>
    </row>
    <row r="1584" spans="18:19" x14ac:dyDescent="0.2">
      <c r="R1584" s="129"/>
      <c r="S1584" s="129"/>
    </row>
    <row r="1585" spans="18:19" x14ac:dyDescent="0.2">
      <c r="R1585" s="129"/>
      <c r="S1585" s="129"/>
    </row>
    <row r="1586" spans="18:19" x14ac:dyDescent="0.2">
      <c r="R1586" s="129"/>
      <c r="S1586" s="129"/>
    </row>
    <row r="1587" spans="18:19" x14ac:dyDescent="0.2">
      <c r="R1587" s="129"/>
      <c r="S1587" s="129"/>
    </row>
    <row r="1588" spans="18:19" x14ac:dyDescent="0.2">
      <c r="R1588" s="129"/>
      <c r="S1588" s="129"/>
    </row>
    <row r="1589" spans="18:19" x14ac:dyDescent="0.2">
      <c r="R1589" s="129"/>
      <c r="S1589" s="129"/>
    </row>
    <row r="1590" spans="18:19" x14ac:dyDescent="0.2">
      <c r="R1590" s="129"/>
      <c r="S1590" s="129"/>
    </row>
    <row r="1591" spans="18:19" x14ac:dyDescent="0.2">
      <c r="R1591" s="129"/>
      <c r="S1591" s="129"/>
    </row>
    <row r="1592" spans="18:19" x14ac:dyDescent="0.2">
      <c r="R1592" s="129"/>
      <c r="S1592" s="129"/>
    </row>
    <row r="1593" spans="18:19" x14ac:dyDescent="0.2">
      <c r="R1593" s="129"/>
      <c r="S1593" s="129"/>
    </row>
    <row r="1594" spans="18:19" x14ac:dyDescent="0.2">
      <c r="R1594" s="129"/>
      <c r="S1594" s="129"/>
    </row>
    <row r="1595" spans="18:19" x14ac:dyDescent="0.2">
      <c r="R1595" s="129"/>
      <c r="S1595" s="129"/>
    </row>
    <row r="1596" spans="18:19" x14ac:dyDescent="0.2">
      <c r="R1596" s="129"/>
      <c r="S1596" s="129"/>
    </row>
    <row r="1597" spans="18:19" x14ac:dyDescent="0.2">
      <c r="R1597" s="129"/>
      <c r="S1597" s="129"/>
    </row>
    <row r="1598" spans="18:19" x14ac:dyDescent="0.2">
      <c r="R1598" s="129"/>
      <c r="S1598" s="129"/>
    </row>
    <row r="1599" spans="18:19" x14ac:dyDescent="0.2">
      <c r="R1599" s="129"/>
      <c r="S1599" s="129"/>
    </row>
    <row r="1600" spans="18:19" x14ac:dyDescent="0.2">
      <c r="R1600" s="129"/>
      <c r="S1600" s="129"/>
    </row>
    <row r="1601" spans="18:19" x14ac:dyDescent="0.2">
      <c r="R1601" s="129"/>
      <c r="S1601" s="129"/>
    </row>
    <row r="1602" spans="18:19" x14ac:dyDescent="0.2">
      <c r="R1602" s="129"/>
      <c r="S1602" s="129"/>
    </row>
    <row r="1603" spans="18:19" x14ac:dyDescent="0.2">
      <c r="R1603" s="129"/>
      <c r="S1603" s="129"/>
    </row>
    <row r="1604" spans="18:19" x14ac:dyDescent="0.2">
      <c r="R1604" s="129"/>
      <c r="S1604" s="129"/>
    </row>
    <row r="1605" spans="18:19" x14ac:dyDescent="0.2">
      <c r="R1605" s="129"/>
      <c r="S1605" s="129"/>
    </row>
    <row r="1606" spans="18:19" x14ac:dyDescent="0.2">
      <c r="R1606" s="129"/>
      <c r="S1606" s="129"/>
    </row>
    <row r="1607" spans="18:19" x14ac:dyDescent="0.2">
      <c r="R1607" s="129"/>
      <c r="S1607" s="129"/>
    </row>
    <row r="1608" spans="18:19" x14ac:dyDescent="0.2">
      <c r="R1608" s="129"/>
      <c r="S1608" s="129"/>
    </row>
    <row r="1609" spans="18:19" x14ac:dyDescent="0.2">
      <c r="R1609" s="129"/>
      <c r="S1609" s="129"/>
    </row>
    <row r="1610" spans="18:19" x14ac:dyDescent="0.2">
      <c r="R1610" s="129"/>
      <c r="S1610" s="129"/>
    </row>
    <row r="1611" spans="18:19" x14ac:dyDescent="0.2">
      <c r="R1611" s="129"/>
      <c r="S1611" s="129"/>
    </row>
    <row r="1612" spans="18:19" x14ac:dyDescent="0.2">
      <c r="R1612" s="129"/>
      <c r="S1612" s="129"/>
    </row>
    <row r="1613" spans="18:19" x14ac:dyDescent="0.2">
      <c r="R1613" s="129"/>
      <c r="S1613" s="129"/>
    </row>
    <row r="1614" spans="18:19" x14ac:dyDescent="0.2">
      <c r="R1614" s="129"/>
      <c r="S1614" s="129"/>
    </row>
    <row r="1615" spans="18:19" x14ac:dyDescent="0.2">
      <c r="R1615" s="129"/>
      <c r="S1615" s="129"/>
    </row>
    <row r="1616" spans="18:19" x14ac:dyDescent="0.2">
      <c r="R1616" s="129"/>
      <c r="S1616" s="129"/>
    </row>
    <row r="1617" spans="18:19" x14ac:dyDescent="0.2">
      <c r="R1617" s="129"/>
      <c r="S1617" s="129"/>
    </row>
    <row r="1618" spans="18:19" x14ac:dyDescent="0.2">
      <c r="R1618" s="129"/>
      <c r="S1618" s="129"/>
    </row>
    <row r="1619" spans="18:19" x14ac:dyDescent="0.2">
      <c r="R1619" s="129"/>
      <c r="S1619" s="129"/>
    </row>
    <row r="1620" spans="18:19" x14ac:dyDescent="0.2">
      <c r="R1620" s="129"/>
      <c r="S1620" s="129"/>
    </row>
    <row r="1621" spans="18:19" x14ac:dyDescent="0.2">
      <c r="R1621" s="129"/>
      <c r="S1621" s="129"/>
    </row>
    <row r="1622" spans="18:19" x14ac:dyDescent="0.2">
      <c r="R1622" s="129"/>
      <c r="S1622" s="129"/>
    </row>
    <row r="1623" spans="18:19" x14ac:dyDescent="0.2">
      <c r="R1623" s="129"/>
      <c r="S1623" s="129"/>
    </row>
    <row r="1624" spans="18:19" x14ac:dyDescent="0.2">
      <c r="R1624" s="129"/>
      <c r="S1624" s="129"/>
    </row>
    <row r="1625" spans="18:19" x14ac:dyDescent="0.2">
      <c r="R1625" s="129"/>
      <c r="S1625" s="129"/>
    </row>
    <row r="1626" spans="18:19" x14ac:dyDescent="0.2">
      <c r="R1626" s="129"/>
      <c r="S1626" s="129"/>
    </row>
    <row r="1627" spans="18:19" x14ac:dyDescent="0.2">
      <c r="R1627" s="129"/>
      <c r="S1627" s="129"/>
    </row>
    <row r="1628" spans="18:19" x14ac:dyDescent="0.2">
      <c r="R1628" s="129"/>
      <c r="S1628" s="129"/>
    </row>
    <row r="1629" spans="18:19" x14ac:dyDescent="0.2">
      <c r="R1629" s="129"/>
      <c r="S1629" s="129"/>
    </row>
    <row r="1630" spans="18:19" x14ac:dyDescent="0.2">
      <c r="R1630" s="129"/>
      <c r="S1630" s="129"/>
    </row>
    <row r="1631" spans="18:19" x14ac:dyDescent="0.2">
      <c r="R1631" s="129"/>
      <c r="S1631" s="129"/>
    </row>
    <row r="1632" spans="18:19" x14ac:dyDescent="0.2">
      <c r="R1632" s="129"/>
      <c r="S1632" s="129"/>
    </row>
    <row r="1633" spans="18:19" x14ac:dyDescent="0.2">
      <c r="R1633" s="129"/>
      <c r="S1633" s="129"/>
    </row>
    <row r="1634" spans="18:19" x14ac:dyDescent="0.2">
      <c r="R1634" s="129"/>
      <c r="S1634" s="129"/>
    </row>
    <row r="1635" spans="18:19" x14ac:dyDescent="0.2">
      <c r="R1635" s="129"/>
      <c r="S1635" s="129"/>
    </row>
    <row r="1636" spans="18:19" x14ac:dyDescent="0.2">
      <c r="R1636" s="129"/>
      <c r="S1636" s="129"/>
    </row>
    <row r="1637" spans="18:19" x14ac:dyDescent="0.2">
      <c r="R1637" s="129"/>
      <c r="S1637" s="129"/>
    </row>
    <row r="1638" spans="18:19" x14ac:dyDescent="0.2">
      <c r="R1638" s="129"/>
      <c r="S1638" s="129"/>
    </row>
    <row r="1639" spans="18:19" x14ac:dyDescent="0.2">
      <c r="R1639" s="129"/>
      <c r="S1639" s="129"/>
    </row>
    <row r="1640" spans="18:19" x14ac:dyDescent="0.2">
      <c r="R1640" s="129"/>
      <c r="S1640" s="129"/>
    </row>
    <row r="1641" spans="18:19" x14ac:dyDescent="0.2">
      <c r="R1641" s="129"/>
      <c r="S1641" s="129"/>
    </row>
    <row r="1642" spans="18:19" x14ac:dyDescent="0.2">
      <c r="R1642" s="129"/>
      <c r="S1642" s="129"/>
    </row>
    <row r="1643" spans="18:19" x14ac:dyDescent="0.2">
      <c r="R1643" s="129"/>
      <c r="S1643" s="129"/>
    </row>
    <row r="1644" spans="18:19" x14ac:dyDescent="0.2">
      <c r="R1644" s="129"/>
      <c r="S1644" s="129"/>
    </row>
    <row r="1645" spans="18:19" x14ac:dyDescent="0.2">
      <c r="R1645" s="129"/>
      <c r="S1645" s="129"/>
    </row>
    <row r="1646" spans="18:19" x14ac:dyDescent="0.2">
      <c r="R1646" s="129"/>
      <c r="S1646" s="129"/>
    </row>
    <row r="1647" spans="18:19" x14ac:dyDescent="0.2">
      <c r="R1647" s="129"/>
      <c r="S1647" s="129"/>
    </row>
    <row r="1648" spans="18:19" x14ac:dyDescent="0.2">
      <c r="R1648" s="129"/>
      <c r="S1648" s="129"/>
    </row>
    <row r="1649" spans="18:19" x14ac:dyDescent="0.2">
      <c r="R1649" s="129"/>
      <c r="S1649" s="129"/>
    </row>
    <row r="1650" spans="18:19" x14ac:dyDescent="0.2">
      <c r="R1650" s="129"/>
      <c r="S1650" s="129"/>
    </row>
    <row r="1651" spans="18:19" x14ac:dyDescent="0.2">
      <c r="R1651" s="129"/>
      <c r="S1651" s="129"/>
    </row>
    <row r="1652" spans="18:19" x14ac:dyDescent="0.2">
      <c r="R1652" s="129"/>
      <c r="S1652" s="129"/>
    </row>
    <row r="1653" spans="18:19" x14ac:dyDescent="0.2">
      <c r="R1653" s="129"/>
      <c r="S1653" s="129"/>
    </row>
    <row r="1654" spans="18:19" x14ac:dyDescent="0.2">
      <c r="R1654" s="129"/>
      <c r="S1654" s="129"/>
    </row>
    <row r="1655" spans="18:19" x14ac:dyDescent="0.2">
      <c r="R1655" s="129"/>
      <c r="S1655" s="129"/>
    </row>
    <row r="1656" spans="18:19" x14ac:dyDescent="0.2">
      <c r="R1656" s="129"/>
      <c r="S1656" s="129"/>
    </row>
    <row r="1657" spans="18:19" x14ac:dyDescent="0.2">
      <c r="R1657" s="129"/>
      <c r="S1657" s="129"/>
    </row>
    <row r="1658" spans="18:19" x14ac:dyDescent="0.2">
      <c r="R1658" s="129"/>
      <c r="S1658" s="129"/>
    </row>
    <row r="1659" spans="18:19" x14ac:dyDescent="0.2">
      <c r="R1659" s="129"/>
      <c r="S1659" s="129"/>
    </row>
    <row r="1660" spans="18:19" x14ac:dyDescent="0.2">
      <c r="R1660" s="129"/>
      <c r="S1660" s="129"/>
    </row>
    <row r="1661" spans="18:19" x14ac:dyDescent="0.2">
      <c r="R1661" s="129"/>
      <c r="S1661" s="129"/>
    </row>
    <row r="1662" spans="18:19" x14ac:dyDescent="0.2">
      <c r="R1662" s="129"/>
      <c r="S1662" s="129"/>
    </row>
    <row r="1663" spans="18:19" x14ac:dyDescent="0.2">
      <c r="R1663" s="129"/>
      <c r="S1663" s="129"/>
    </row>
    <row r="1664" spans="18:19" x14ac:dyDescent="0.2">
      <c r="R1664" s="129"/>
      <c r="S1664" s="129"/>
    </row>
    <row r="1665" spans="18:19" x14ac:dyDescent="0.2">
      <c r="R1665" s="129"/>
      <c r="S1665" s="129"/>
    </row>
    <row r="1666" spans="18:19" x14ac:dyDescent="0.2">
      <c r="R1666" s="129"/>
      <c r="S1666" s="129"/>
    </row>
    <row r="1667" spans="18:19" x14ac:dyDescent="0.2">
      <c r="R1667" s="129"/>
      <c r="S1667" s="129"/>
    </row>
    <row r="1668" spans="18:19" x14ac:dyDescent="0.2">
      <c r="R1668" s="129"/>
      <c r="S1668" s="129"/>
    </row>
    <row r="1669" spans="18:19" x14ac:dyDescent="0.2">
      <c r="R1669" s="129"/>
      <c r="S1669" s="129"/>
    </row>
    <row r="1670" spans="18:19" x14ac:dyDescent="0.2">
      <c r="R1670" s="129"/>
      <c r="S1670" s="129"/>
    </row>
    <row r="1671" spans="18:19" x14ac:dyDescent="0.2">
      <c r="R1671" s="129"/>
      <c r="S1671" s="129"/>
    </row>
    <row r="1672" spans="18:19" x14ac:dyDescent="0.2">
      <c r="R1672" s="129"/>
      <c r="S1672" s="129"/>
    </row>
    <row r="1673" spans="18:19" x14ac:dyDescent="0.2">
      <c r="R1673" s="129"/>
      <c r="S1673" s="129"/>
    </row>
    <row r="1674" spans="18:19" x14ac:dyDescent="0.2">
      <c r="R1674" s="129"/>
      <c r="S1674" s="129"/>
    </row>
    <row r="1675" spans="18:19" x14ac:dyDescent="0.2">
      <c r="R1675" s="129"/>
      <c r="S1675" s="129"/>
    </row>
    <row r="1676" spans="18:19" x14ac:dyDescent="0.2">
      <c r="R1676" s="129"/>
      <c r="S1676" s="129"/>
    </row>
    <row r="1677" spans="18:19" x14ac:dyDescent="0.2">
      <c r="R1677" s="129"/>
      <c r="S1677" s="129"/>
    </row>
    <row r="1678" spans="18:19" x14ac:dyDescent="0.2">
      <c r="R1678" s="129"/>
      <c r="S1678" s="129"/>
    </row>
    <row r="1679" spans="18:19" x14ac:dyDescent="0.2">
      <c r="R1679" s="129"/>
      <c r="S1679" s="129"/>
    </row>
    <row r="1680" spans="18:19" x14ac:dyDescent="0.2">
      <c r="R1680" s="129"/>
      <c r="S1680" s="129"/>
    </row>
    <row r="1681" spans="18:19" x14ac:dyDescent="0.2">
      <c r="R1681" s="129"/>
      <c r="S1681" s="129"/>
    </row>
    <row r="1682" spans="18:19" x14ac:dyDescent="0.2">
      <c r="R1682" s="129"/>
      <c r="S1682" s="129"/>
    </row>
    <row r="1683" spans="18:19" x14ac:dyDescent="0.2">
      <c r="R1683" s="129"/>
      <c r="S1683" s="129"/>
    </row>
    <row r="1684" spans="18:19" x14ac:dyDescent="0.2">
      <c r="R1684" s="129"/>
      <c r="S1684" s="129"/>
    </row>
    <row r="1685" spans="18:19" x14ac:dyDescent="0.2">
      <c r="R1685" s="129"/>
      <c r="S1685" s="129"/>
    </row>
    <row r="1686" spans="18:19" x14ac:dyDescent="0.2">
      <c r="R1686" s="129"/>
      <c r="S1686" s="129"/>
    </row>
    <row r="1687" spans="18:19" x14ac:dyDescent="0.2">
      <c r="R1687" s="129"/>
      <c r="S1687" s="129"/>
    </row>
    <row r="1688" spans="18:19" x14ac:dyDescent="0.2">
      <c r="R1688" s="129"/>
      <c r="S1688" s="129"/>
    </row>
    <row r="1689" spans="18:19" x14ac:dyDescent="0.2">
      <c r="R1689" s="129"/>
      <c r="S1689" s="129"/>
    </row>
    <row r="1690" spans="18:19" x14ac:dyDescent="0.2">
      <c r="R1690" s="129"/>
      <c r="S1690" s="129"/>
    </row>
    <row r="1691" spans="18:19" x14ac:dyDescent="0.2">
      <c r="R1691" s="129"/>
      <c r="S1691" s="129"/>
    </row>
    <row r="1692" spans="18:19" x14ac:dyDescent="0.2">
      <c r="R1692" s="129"/>
      <c r="S1692" s="129"/>
    </row>
    <row r="1693" spans="18:19" x14ac:dyDescent="0.2">
      <c r="R1693" s="129"/>
      <c r="S1693" s="129"/>
    </row>
    <row r="1694" spans="18:19" x14ac:dyDescent="0.2">
      <c r="R1694" s="129"/>
      <c r="S1694" s="129"/>
    </row>
    <row r="1695" spans="18:19" x14ac:dyDescent="0.2">
      <c r="R1695" s="129"/>
      <c r="S1695" s="129"/>
    </row>
    <row r="1696" spans="18:19" x14ac:dyDescent="0.2">
      <c r="R1696" s="129"/>
      <c r="S1696" s="129"/>
    </row>
    <row r="1697" spans="18:19" x14ac:dyDescent="0.2">
      <c r="R1697" s="129"/>
      <c r="S1697" s="129"/>
    </row>
    <row r="1698" spans="18:19" x14ac:dyDescent="0.2">
      <c r="R1698" s="129"/>
      <c r="S1698" s="129"/>
    </row>
    <row r="1699" spans="18:19" x14ac:dyDescent="0.2">
      <c r="R1699" s="129"/>
      <c r="S1699" s="129"/>
    </row>
    <row r="1700" spans="18:19" x14ac:dyDescent="0.2">
      <c r="R1700" s="129"/>
      <c r="S1700" s="129"/>
    </row>
    <row r="1701" spans="18:19" x14ac:dyDescent="0.2">
      <c r="R1701" s="129"/>
      <c r="S1701" s="129"/>
    </row>
    <row r="1702" spans="18:19" x14ac:dyDescent="0.2">
      <c r="R1702" s="129"/>
      <c r="S1702" s="129"/>
    </row>
    <row r="1703" spans="18:19" x14ac:dyDescent="0.2">
      <c r="R1703" s="129"/>
      <c r="S1703" s="129"/>
    </row>
    <row r="1704" spans="18:19" x14ac:dyDescent="0.2">
      <c r="R1704" s="129"/>
      <c r="S1704" s="129"/>
    </row>
    <row r="1705" spans="18:19" x14ac:dyDescent="0.2">
      <c r="R1705" s="129"/>
      <c r="S1705" s="129"/>
    </row>
    <row r="1706" spans="18:19" x14ac:dyDescent="0.2">
      <c r="R1706" s="129"/>
      <c r="S1706" s="129"/>
    </row>
    <row r="1707" spans="18:19" x14ac:dyDescent="0.2">
      <c r="R1707" s="129"/>
      <c r="S1707" s="129"/>
    </row>
    <row r="1708" spans="18:19" x14ac:dyDescent="0.2">
      <c r="R1708" s="129"/>
      <c r="S1708" s="129"/>
    </row>
    <row r="1709" spans="18:19" x14ac:dyDescent="0.2">
      <c r="R1709" s="129"/>
      <c r="S1709" s="129"/>
    </row>
    <row r="1710" spans="18:19" x14ac:dyDescent="0.2">
      <c r="R1710" s="129"/>
      <c r="S1710" s="129"/>
    </row>
    <row r="1711" spans="18:19" x14ac:dyDescent="0.2">
      <c r="R1711" s="129"/>
      <c r="S1711" s="129"/>
    </row>
    <row r="1712" spans="18:19" x14ac:dyDescent="0.2">
      <c r="R1712" s="129"/>
      <c r="S1712" s="129"/>
    </row>
    <row r="1713" spans="18:19" x14ac:dyDescent="0.2">
      <c r="R1713" s="129"/>
      <c r="S1713" s="129"/>
    </row>
    <row r="1714" spans="18:19" x14ac:dyDescent="0.2">
      <c r="R1714" s="129"/>
      <c r="S1714" s="129"/>
    </row>
    <row r="1715" spans="18:19" x14ac:dyDescent="0.2">
      <c r="R1715" s="129"/>
      <c r="S1715" s="129"/>
    </row>
    <row r="1716" spans="18:19" x14ac:dyDescent="0.2">
      <c r="R1716" s="129"/>
      <c r="S1716" s="129"/>
    </row>
    <row r="1717" spans="18:19" x14ac:dyDescent="0.2">
      <c r="R1717" s="129"/>
      <c r="S1717" s="129"/>
    </row>
    <row r="1718" spans="18:19" x14ac:dyDescent="0.2">
      <c r="R1718" s="129"/>
      <c r="S1718" s="129"/>
    </row>
    <row r="1719" spans="18:19" x14ac:dyDescent="0.2">
      <c r="R1719" s="129"/>
      <c r="S1719" s="129"/>
    </row>
    <row r="1720" spans="18:19" x14ac:dyDescent="0.2">
      <c r="R1720" s="129"/>
      <c r="S1720" s="129"/>
    </row>
    <row r="1721" spans="18:19" x14ac:dyDescent="0.2">
      <c r="R1721" s="129"/>
      <c r="S1721" s="129"/>
    </row>
    <row r="1722" spans="18:19" x14ac:dyDescent="0.2">
      <c r="R1722" s="129"/>
      <c r="S1722" s="129"/>
    </row>
    <row r="1723" spans="18:19" x14ac:dyDescent="0.2">
      <c r="R1723" s="129"/>
      <c r="S1723" s="129"/>
    </row>
    <row r="1724" spans="18:19" x14ac:dyDescent="0.2">
      <c r="R1724" s="129"/>
      <c r="S1724" s="129"/>
    </row>
    <row r="1725" spans="18:19" x14ac:dyDescent="0.2">
      <c r="R1725" s="129"/>
      <c r="S1725" s="129"/>
    </row>
    <row r="1726" spans="18:19" x14ac:dyDescent="0.2">
      <c r="R1726" s="129"/>
      <c r="S1726" s="129"/>
    </row>
    <row r="1727" spans="18:19" x14ac:dyDescent="0.2">
      <c r="R1727" s="129"/>
      <c r="S1727" s="129"/>
    </row>
    <row r="1728" spans="18:19" x14ac:dyDescent="0.2">
      <c r="R1728" s="129"/>
      <c r="S1728" s="129"/>
    </row>
    <row r="1729" spans="18:19" x14ac:dyDescent="0.2">
      <c r="R1729" s="129"/>
      <c r="S1729" s="129"/>
    </row>
    <row r="1730" spans="18:19" x14ac:dyDescent="0.2">
      <c r="R1730" s="129"/>
      <c r="S1730" s="129"/>
    </row>
    <row r="1731" spans="18:19" x14ac:dyDescent="0.2">
      <c r="R1731" s="129"/>
      <c r="S1731" s="129"/>
    </row>
    <row r="1732" spans="18:19" x14ac:dyDescent="0.2">
      <c r="R1732" s="129"/>
      <c r="S1732" s="129"/>
    </row>
    <row r="1733" spans="18:19" x14ac:dyDescent="0.2">
      <c r="R1733" s="129"/>
      <c r="S1733" s="129"/>
    </row>
    <row r="1734" spans="18:19" x14ac:dyDescent="0.2">
      <c r="R1734" s="129"/>
      <c r="S1734" s="129"/>
    </row>
    <row r="1735" spans="18:19" x14ac:dyDescent="0.2">
      <c r="R1735" s="129"/>
      <c r="S1735" s="129"/>
    </row>
    <row r="1736" spans="18:19" x14ac:dyDescent="0.2">
      <c r="R1736" s="129"/>
      <c r="S1736" s="129"/>
    </row>
    <row r="1737" spans="18:19" x14ac:dyDescent="0.2">
      <c r="R1737" s="129"/>
      <c r="S1737" s="129"/>
    </row>
    <row r="1738" spans="18:19" x14ac:dyDescent="0.2">
      <c r="R1738" s="129"/>
      <c r="S1738" s="129"/>
    </row>
    <row r="1739" spans="18:19" x14ac:dyDescent="0.2">
      <c r="R1739" s="129"/>
      <c r="S1739" s="129"/>
    </row>
    <row r="1740" spans="18:19" x14ac:dyDescent="0.2">
      <c r="R1740" s="129"/>
      <c r="S1740" s="129"/>
    </row>
    <row r="1741" spans="18:19" x14ac:dyDescent="0.2">
      <c r="R1741" s="129"/>
      <c r="S1741" s="129"/>
    </row>
    <row r="1742" spans="18:19" x14ac:dyDescent="0.2">
      <c r="R1742" s="129"/>
      <c r="S1742" s="129"/>
    </row>
    <row r="1743" spans="18:19" x14ac:dyDescent="0.2">
      <c r="R1743" s="129"/>
      <c r="S1743" s="129"/>
    </row>
    <row r="1744" spans="18:19" x14ac:dyDescent="0.2">
      <c r="R1744" s="129"/>
      <c r="S1744" s="129"/>
    </row>
    <row r="1745" spans="18:19" x14ac:dyDescent="0.2">
      <c r="R1745" s="129"/>
      <c r="S1745" s="129"/>
    </row>
    <row r="1746" spans="18:19" x14ac:dyDescent="0.2">
      <c r="R1746" s="129"/>
      <c r="S1746" s="129"/>
    </row>
    <row r="1747" spans="18:19" x14ac:dyDescent="0.2">
      <c r="R1747" s="129"/>
      <c r="S1747" s="129"/>
    </row>
    <row r="1748" spans="18:19" x14ac:dyDescent="0.2">
      <c r="R1748" s="129"/>
      <c r="S1748" s="129"/>
    </row>
    <row r="1749" spans="18:19" x14ac:dyDescent="0.2">
      <c r="R1749" s="129"/>
      <c r="S1749" s="129"/>
    </row>
    <row r="1750" spans="18:19" x14ac:dyDescent="0.2">
      <c r="R1750" s="129"/>
      <c r="S1750" s="129"/>
    </row>
    <row r="1751" spans="18:19" x14ac:dyDescent="0.2">
      <c r="R1751" s="129"/>
      <c r="S1751" s="129"/>
    </row>
    <row r="1752" spans="18:19" x14ac:dyDescent="0.2">
      <c r="R1752" s="129"/>
      <c r="S1752" s="129"/>
    </row>
    <row r="1753" spans="18:19" x14ac:dyDescent="0.2">
      <c r="R1753" s="129"/>
      <c r="S1753" s="129"/>
    </row>
    <row r="1754" spans="18:19" x14ac:dyDescent="0.2">
      <c r="R1754" s="129"/>
      <c r="S1754" s="129"/>
    </row>
    <row r="1755" spans="18:19" x14ac:dyDescent="0.2">
      <c r="R1755" s="129"/>
      <c r="S1755" s="129"/>
    </row>
    <row r="1756" spans="18:19" x14ac:dyDescent="0.2">
      <c r="R1756" s="129"/>
      <c r="S1756" s="129"/>
    </row>
    <row r="1757" spans="18:19" x14ac:dyDescent="0.2">
      <c r="R1757" s="129"/>
      <c r="S1757" s="129"/>
    </row>
    <row r="1758" spans="18:19" x14ac:dyDescent="0.2">
      <c r="R1758" s="129"/>
      <c r="S1758" s="129"/>
    </row>
    <row r="1759" spans="18:19" x14ac:dyDescent="0.2">
      <c r="R1759" s="129"/>
      <c r="S1759" s="129"/>
    </row>
    <row r="1760" spans="18:19" x14ac:dyDescent="0.2">
      <c r="R1760" s="129"/>
      <c r="S1760" s="129"/>
    </row>
    <row r="1761" spans="18:19" x14ac:dyDescent="0.2">
      <c r="R1761" s="129"/>
      <c r="S1761" s="129"/>
    </row>
    <row r="1762" spans="18:19" x14ac:dyDescent="0.2">
      <c r="R1762" s="129"/>
      <c r="S1762" s="129"/>
    </row>
    <row r="1763" spans="18:19" x14ac:dyDescent="0.2">
      <c r="R1763" s="129"/>
      <c r="S1763" s="129"/>
    </row>
    <row r="1764" spans="18:19" x14ac:dyDescent="0.2">
      <c r="R1764" s="129"/>
      <c r="S1764" s="129"/>
    </row>
    <row r="1765" spans="18:19" x14ac:dyDescent="0.2">
      <c r="R1765" s="129"/>
      <c r="S1765" s="129"/>
    </row>
    <row r="1766" spans="18:19" x14ac:dyDescent="0.2">
      <c r="R1766" s="129"/>
      <c r="S1766" s="129"/>
    </row>
    <row r="1767" spans="18:19" x14ac:dyDescent="0.2">
      <c r="R1767" s="129"/>
      <c r="S1767" s="129"/>
    </row>
    <row r="1768" spans="18:19" x14ac:dyDescent="0.2">
      <c r="R1768" s="129"/>
      <c r="S1768" s="129"/>
    </row>
    <row r="1769" spans="18:19" x14ac:dyDescent="0.2">
      <c r="R1769" s="129"/>
      <c r="S1769" s="129"/>
    </row>
    <row r="1770" spans="18:19" x14ac:dyDescent="0.2">
      <c r="R1770" s="129"/>
      <c r="S1770" s="129"/>
    </row>
    <row r="1771" spans="18:19" x14ac:dyDescent="0.2">
      <c r="R1771" s="129"/>
      <c r="S1771" s="129"/>
    </row>
    <row r="1772" spans="18:19" x14ac:dyDescent="0.2">
      <c r="R1772" s="129"/>
      <c r="S1772" s="129"/>
    </row>
    <row r="1773" spans="18:19" x14ac:dyDescent="0.2">
      <c r="R1773" s="129"/>
      <c r="S1773" s="129"/>
    </row>
    <row r="1774" spans="18:19" x14ac:dyDescent="0.2">
      <c r="R1774" s="129"/>
      <c r="S1774" s="129"/>
    </row>
    <row r="1775" spans="18:19" x14ac:dyDescent="0.2">
      <c r="R1775" s="129"/>
      <c r="S1775" s="129"/>
    </row>
    <row r="1776" spans="18:19" x14ac:dyDescent="0.2">
      <c r="R1776" s="129"/>
      <c r="S1776" s="129"/>
    </row>
    <row r="1777" spans="18:19" x14ac:dyDescent="0.2">
      <c r="R1777" s="129"/>
      <c r="S1777" s="129"/>
    </row>
    <row r="1778" spans="18:19" x14ac:dyDescent="0.2">
      <c r="R1778" s="129"/>
      <c r="S1778" s="129"/>
    </row>
    <row r="1779" spans="18:19" x14ac:dyDescent="0.2">
      <c r="R1779" s="129"/>
      <c r="S1779" s="129"/>
    </row>
    <row r="1780" spans="18:19" x14ac:dyDescent="0.2">
      <c r="R1780" s="129"/>
      <c r="S1780" s="129"/>
    </row>
    <row r="1781" spans="18:19" x14ac:dyDescent="0.2">
      <c r="R1781" s="129"/>
      <c r="S1781" s="129"/>
    </row>
    <row r="1782" spans="18:19" x14ac:dyDescent="0.2">
      <c r="R1782" s="129"/>
      <c r="S1782" s="129"/>
    </row>
    <row r="1783" spans="18:19" x14ac:dyDescent="0.2">
      <c r="R1783" s="129"/>
      <c r="S1783" s="129"/>
    </row>
    <row r="1784" spans="18:19" x14ac:dyDescent="0.2">
      <c r="R1784" s="129"/>
      <c r="S1784" s="129"/>
    </row>
    <row r="1785" spans="18:19" x14ac:dyDescent="0.2">
      <c r="R1785" s="129"/>
      <c r="S1785" s="129"/>
    </row>
    <row r="1786" spans="18:19" x14ac:dyDescent="0.2">
      <c r="R1786" s="129"/>
      <c r="S1786" s="129"/>
    </row>
    <row r="1787" spans="18:19" x14ac:dyDescent="0.2">
      <c r="R1787" s="129"/>
      <c r="S1787" s="129"/>
    </row>
    <row r="1788" spans="18:19" x14ac:dyDescent="0.2">
      <c r="R1788" s="129"/>
      <c r="S1788" s="129"/>
    </row>
    <row r="1789" spans="18:19" x14ac:dyDescent="0.2">
      <c r="R1789" s="129"/>
      <c r="S1789" s="129"/>
    </row>
    <row r="1790" spans="18:19" x14ac:dyDescent="0.2">
      <c r="R1790" s="129"/>
      <c r="S1790" s="129"/>
    </row>
    <row r="1791" spans="18:19" x14ac:dyDescent="0.2">
      <c r="R1791" s="129"/>
      <c r="S1791" s="129"/>
    </row>
    <row r="1792" spans="18:19" x14ac:dyDescent="0.2">
      <c r="R1792" s="129"/>
      <c r="S1792" s="129"/>
    </row>
    <row r="1793" spans="18:19" x14ac:dyDescent="0.2">
      <c r="R1793" s="129"/>
      <c r="S1793" s="129"/>
    </row>
    <row r="1794" spans="18:19" x14ac:dyDescent="0.2">
      <c r="R1794" s="129"/>
      <c r="S1794" s="129"/>
    </row>
    <row r="1795" spans="18:19" x14ac:dyDescent="0.2">
      <c r="R1795" s="129"/>
      <c r="S1795" s="129"/>
    </row>
    <row r="1796" spans="18:19" x14ac:dyDescent="0.2">
      <c r="R1796" s="129"/>
      <c r="S1796" s="129"/>
    </row>
    <row r="1797" spans="18:19" x14ac:dyDescent="0.2">
      <c r="R1797" s="129"/>
      <c r="S1797" s="129"/>
    </row>
    <row r="1798" spans="18:19" x14ac:dyDescent="0.2">
      <c r="R1798" s="129"/>
      <c r="S1798" s="129"/>
    </row>
    <row r="1799" spans="18:19" x14ac:dyDescent="0.2">
      <c r="R1799" s="129"/>
      <c r="S1799" s="129"/>
    </row>
    <row r="1800" spans="18:19" x14ac:dyDescent="0.2">
      <c r="R1800" s="129"/>
      <c r="S1800" s="129"/>
    </row>
    <row r="1801" spans="18:19" x14ac:dyDescent="0.2">
      <c r="R1801" s="129"/>
      <c r="S1801" s="129"/>
    </row>
    <row r="1802" spans="18:19" x14ac:dyDescent="0.2">
      <c r="R1802" s="129"/>
      <c r="S1802" s="129"/>
    </row>
    <row r="1803" spans="18:19" x14ac:dyDescent="0.2">
      <c r="R1803" s="129"/>
      <c r="S1803" s="129"/>
    </row>
    <row r="1804" spans="18:19" x14ac:dyDescent="0.2">
      <c r="R1804" s="129"/>
      <c r="S1804" s="129"/>
    </row>
    <row r="1805" spans="18:19" x14ac:dyDescent="0.2">
      <c r="R1805" s="129"/>
      <c r="S1805" s="129"/>
    </row>
    <row r="1806" spans="18:19" x14ac:dyDescent="0.2">
      <c r="R1806" s="129"/>
      <c r="S1806" s="129"/>
    </row>
    <row r="1807" spans="18:19" x14ac:dyDescent="0.2">
      <c r="R1807" s="129"/>
      <c r="S1807" s="129"/>
    </row>
    <row r="1808" spans="18:19" x14ac:dyDescent="0.2">
      <c r="R1808" s="129"/>
      <c r="S1808" s="129"/>
    </row>
    <row r="1809" spans="18:19" x14ac:dyDescent="0.2">
      <c r="R1809" s="129"/>
      <c r="S1809" s="129"/>
    </row>
    <row r="1810" spans="18:19" x14ac:dyDescent="0.2">
      <c r="R1810" s="129"/>
      <c r="S1810" s="129"/>
    </row>
    <row r="1811" spans="18:19" x14ac:dyDescent="0.2">
      <c r="R1811" s="129"/>
      <c r="S1811" s="129"/>
    </row>
    <row r="1812" spans="18:19" x14ac:dyDescent="0.2">
      <c r="R1812" s="129"/>
      <c r="S1812" s="129"/>
    </row>
    <row r="1813" spans="18:19" x14ac:dyDescent="0.2">
      <c r="R1813" s="129"/>
      <c r="S1813" s="129"/>
    </row>
    <row r="1814" spans="18:19" x14ac:dyDescent="0.2">
      <c r="R1814" s="129"/>
      <c r="S1814" s="129"/>
    </row>
    <row r="1815" spans="18:19" x14ac:dyDescent="0.2">
      <c r="R1815" s="129"/>
      <c r="S1815" s="129"/>
    </row>
    <row r="1816" spans="18:19" x14ac:dyDescent="0.2">
      <c r="R1816" s="129"/>
      <c r="S1816" s="129"/>
    </row>
    <row r="1817" spans="18:19" x14ac:dyDescent="0.2">
      <c r="R1817" s="129"/>
      <c r="S1817" s="129"/>
    </row>
    <row r="1818" spans="18:19" x14ac:dyDescent="0.2">
      <c r="R1818" s="129"/>
      <c r="S1818" s="129"/>
    </row>
    <row r="1819" spans="18:19" x14ac:dyDescent="0.2">
      <c r="R1819" s="129"/>
      <c r="S1819" s="129"/>
    </row>
    <row r="1820" spans="18:19" x14ac:dyDescent="0.2">
      <c r="R1820" s="129"/>
      <c r="S1820" s="129"/>
    </row>
    <row r="1821" spans="18:19" x14ac:dyDescent="0.2">
      <c r="R1821" s="129"/>
      <c r="S1821" s="129"/>
    </row>
    <row r="1822" spans="18:19" x14ac:dyDescent="0.2">
      <c r="R1822" s="129"/>
      <c r="S1822" s="129"/>
    </row>
    <row r="1823" spans="18:19" x14ac:dyDescent="0.2">
      <c r="R1823" s="129"/>
      <c r="S1823" s="129"/>
    </row>
    <row r="1824" spans="18:19" x14ac:dyDescent="0.2">
      <c r="R1824" s="129"/>
      <c r="S1824" s="129"/>
    </row>
    <row r="1825" spans="18:19" x14ac:dyDescent="0.2">
      <c r="R1825" s="129"/>
      <c r="S1825" s="129"/>
    </row>
    <row r="1826" spans="18:19" x14ac:dyDescent="0.2">
      <c r="R1826" s="129"/>
      <c r="S1826" s="129"/>
    </row>
    <row r="1827" spans="18:19" x14ac:dyDescent="0.2">
      <c r="R1827" s="129"/>
      <c r="S1827" s="129"/>
    </row>
    <row r="1828" spans="18:19" x14ac:dyDescent="0.2">
      <c r="R1828" s="129"/>
      <c r="S1828" s="129"/>
    </row>
    <row r="1829" spans="18:19" x14ac:dyDescent="0.2">
      <c r="R1829" s="129"/>
      <c r="S1829" s="129"/>
    </row>
    <row r="1830" spans="18:19" x14ac:dyDescent="0.2">
      <c r="R1830" s="129"/>
      <c r="S1830" s="129"/>
    </row>
    <row r="1831" spans="18:19" x14ac:dyDescent="0.2">
      <c r="R1831" s="129"/>
      <c r="S1831" s="129"/>
    </row>
    <row r="1832" spans="18:19" x14ac:dyDescent="0.2">
      <c r="R1832" s="129"/>
      <c r="S1832" s="129"/>
    </row>
    <row r="1833" spans="18:19" x14ac:dyDescent="0.2">
      <c r="R1833" s="129"/>
      <c r="S1833" s="129"/>
    </row>
    <row r="1834" spans="18:19" x14ac:dyDescent="0.2">
      <c r="R1834" s="129"/>
      <c r="S1834" s="129"/>
    </row>
    <row r="1835" spans="18:19" x14ac:dyDescent="0.2">
      <c r="R1835" s="129"/>
      <c r="S1835" s="129"/>
    </row>
    <row r="1836" spans="18:19" x14ac:dyDescent="0.2">
      <c r="R1836" s="129"/>
      <c r="S1836" s="129"/>
    </row>
    <row r="1837" spans="18:19" x14ac:dyDescent="0.2">
      <c r="R1837" s="129"/>
      <c r="S1837" s="129"/>
    </row>
    <row r="1838" spans="18:19" x14ac:dyDescent="0.2">
      <c r="R1838" s="129"/>
      <c r="S1838" s="129"/>
    </row>
    <row r="1839" spans="18:19" x14ac:dyDescent="0.2">
      <c r="R1839" s="129"/>
      <c r="S1839" s="129"/>
    </row>
    <row r="1840" spans="18:19" x14ac:dyDescent="0.2">
      <c r="R1840" s="129"/>
      <c r="S1840" s="129"/>
    </row>
    <row r="1841" spans="18:19" x14ac:dyDescent="0.2">
      <c r="R1841" s="129"/>
      <c r="S1841" s="129"/>
    </row>
    <row r="1842" spans="18:19" x14ac:dyDescent="0.2">
      <c r="R1842" s="129"/>
      <c r="S1842" s="129"/>
    </row>
    <row r="1843" spans="18:19" x14ac:dyDescent="0.2">
      <c r="R1843" s="129"/>
      <c r="S1843" s="129"/>
    </row>
    <row r="1844" spans="18:19" x14ac:dyDescent="0.2">
      <c r="R1844" s="129"/>
      <c r="S1844" s="129"/>
    </row>
    <row r="1845" spans="18:19" x14ac:dyDescent="0.2">
      <c r="R1845" s="129"/>
      <c r="S1845" s="129"/>
    </row>
    <row r="1846" spans="18:19" x14ac:dyDescent="0.2">
      <c r="R1846" s="129"/>
      <c r="S1846" s="129"/>
    </row>
    <row r="1847" spans="18:19" x14ac:dyDescent="0.2">
      <c r="R1847" s="129"/>
      <c r="S1847" s="129"/>
    </row>
    <row r="1848" spans="18:19" x14ac:dyDescent="0.2">
      <c r="R1848" s="129"/>
      <c r="S1848" s="129"/>
    </row>
    <row r="1849" spans="18:19" x14ac:dyDescent="0.2">
      <c r="R1849" s="129"/>
      <c r="S1849" s="129"/>
    </row>
    <row r="1850" spans="18:19" x14ac:dyDescent="0.2">
      <c r="R1850" s="129"/>
      <c r="S1850" s="129"/>
    </row>
    <row r="1851" spans="18:19" x14ac:dyDescent="0.2">
      <c r="R1851" s="129"/>
      <c r="S1851" s="129"/>
    </row>
    <row r="1852" spans="18:19" x14ac:dyDescent="0.2">
      <c r="R1852" s="129"/>
      <c r="S1852" s="129"/>
    </row>
    <row r="1853" spans="18:19" x14ac:dyDescent="0.2">
      <c r="R1853" s="129"/>
      <c r="S1853" s="129"/>
    </row>
    <row r="1854" spans="18:19" x14ac:dyDescent="0.2">
      <c r="R1854" s="129"/>
      <c r="S1854" s="129"/>
    </row>
    <row r="1855" spans="18:19" x14ac:dyDescent="0.2">
      <c r="R1855" s="129"/>
      <c r="S1855" s="129"/>
    </row>
    <row r="1856" spans="18:19" x14ac:dyDescent="0.2">
      <c r="R1856" s="129"/>
      <c r="S1856" s="129"/>
    </row>
    <row r="1857" spans="18:19" x14ac:dyDescent="0.2">
      <c r="R1857" s="129"/>
      <c r="S1857" s="129"/>
    </row>
    <row r="1858" spans="18:19" x14ac:dyDescent="0.2">
      <c r="R1858" s="129"/>
      <c r="S1858" s="129"/>
    </row>
    <row r="1859" spans="18:19" x14ac:dyDescent="0.2">
      <c r="R1859" s="129"/>
      <c r="S1859" s="129"/>
    </row>
    <row r="1860" spans="18:19" x14ac:dyDescent="0.2">
      <c r="R1860" s="129"/>
      <c r="S1860" s="129"/>
    </row>
    <row r="1861" spans="18:19" x14ac:dyDescent="0.2">
      <c r="R1861" s="129"/>
      <c r="S1861" s="129"/>
    </row>
    <row r="1862" spans="18:19" x14ac:dyDescent="0.2">
      <c r="R1862" s="129"/>
      <c r="S1862" s="129"/>
    </row>
    <row r="1863" spans="18:19" x14ac:dyDescent="0.2">
      <c r="R1863" s="129"/>
      <c r="S1863" s="129"/>
    </row>
    <row r="1864" spans="18:19" x14ac:dyDescent="0.2">
      <c r="R1864" s="129"/>
      <c r="S1864" s="129"/>
    </row>
    <row r="1865" spans="18:19" x14ac:dyDescent="0.2">
      <c r="R1865" s="129"/>
      <c r="S1865" s="129"/>
    </row>
    <row r="1866" spans="18:19" x14ac:dyDescent="0.2">
      <c r="R1866" s="129"/>
      <c r="S1866" s="129"/>
    </row>
    <row r="1867" spans="18:19" x14ac:dyDescent="0.2">
      <c r="R1867" s="129"/>
      <c r="S1867" s="129"/>
    </row>
    <row r="1868" spans="18:19" x14ac:dyDescent="0.2">
      <c r="R1868" s="129"/>
      <c r="S1868" s="129"/>
    </row>
    <row r="1869" spans="18:19" x14ac:dyDescent="0.2">
      <c r="R1869" s="129"/>
      <c r="S1869" s="129"/>
    </row>
    <row r="1870" spans="18:19" x14ac:dyDescent="0.2">
      <c r="R1870" s="129"/>
      <c r="S1870" s="129"/>
    </row>
    <row r="1871" spans="18:19" x14ac:dyDescent="0.2">
      <c r="R1871" s="129"/>
      <c r="S1871" s="129"/>
    </row>
    <row r="1872" spans="18:19" x14ac:dyDescent="0.2">
      <c r="R1872" s="129"/>
      <c r="S1872" s="129"/>
    </row>
    <row r="1873" spans="18:19" x14ac:dyDescent="0.2">
      <c r="R1873" s="129"/>
      <c r="S1873" s="129"/>
    </row>
    <row r="1874" spans="18:19" x14ac:dyDescent="0.2">
      <c r="R1874" s="129"/>
      <c r="S1874" s="129"/>
    </row>
    <row r="1875" spans="18:19" x14ac:dyDescent="0.2">
      <c r="R1875" s="129"/>
      <c r="S1875" s="129"/>
    </row>
    <row r="1876" spans="18:19" x14ac:dyDescent="0.2">
      <c r="R1876" s="129"/>
      <c r="S1876" s="129"/>
    </row>
    <row r="1877" spans="18:19" x14ac:dyDescent="0.2">
      <c r="R1877" s="129"/>
      <c r="S1877" s="129"/>
    </row>
    <row r="1878" spans="18:19" x14ac:dyDescent="0.2">
      <c r="R1878" s="129"/>
      <c r="S1878" s="129"/>
    </row>
    <row r="1879" spans="18:19" x14ac:dyDescent="0.2">
      <c r="R1879" s="129"/>
      <c r="S1879" s="129"/>
    </row>
    <row r="1880" spans="18:19" x14ac:dyDescent="0.2">
      <c r="R1880" s="129"/>
      <c r="S1880" s="129"/>
    </row>
    <row r="1881" spans="18:19" x14ac:dyDescent="0.2">
      <c r="R1881" s="129"/>
      <c r="S1881" s="129"/>
    </row>
    <row r="1882" spans="18:19" x14ac:dyDescent="0.2">
      <c r="R1882" s="129"/>
      <c r="S1882" s="129"/>
    </row>
    <row r="1883" spans="18:19" x14ac:dyDescent="0.2">
      <c r="R1883" s="129"/>
      <c r="S1883" s="129"/>
    </row>
    <row r="1884" spans="18:19" x14ac:dyDescent="0.2">
      <c r="R1884" s="129"/>
      <c r="S1884" s="129"/>
    </row>
    <row r="1885" spans="18:19" x14ac:dyDescent="0.2">
      <c r="R1885" s="129"/>
      <c r="S1885" s="129"/>
    </row>
    <row r="1886" spans="18:19" x14ac:dyDescent="0.2">
      <c r="R1886" s="129"/>
      <c r="S1886" s="129"/>
    </row>
    <row r="1887" spans="18:19" x14ac:dyDescent="0.2">
      <c r="R1887" s="129"/>
      <c r="S1887" s="129"/>
    </row>
    <row r="1888" spans="18:19" x14ac:dyDescent="0.2">
      <c r="R1888" s="129"/>
      <c r="S1888" s="129"/>
    </row>
    <row r="1889" spans="18:19" x14ac:dyDescent="0.2">
      <c r="R1889" s="129"/>
      <c r="S1889" s="129"/>
    </row>
    <row r="1890" spans="18:19" x14ac:dyDescent="0.2">
      <c r="R1890" s="129"/>
      <c r="S1890" s="129"/>
    </row>
    <row r="1891" spans="18:19" x14ac:dyDescent="0.2">
      <c r="R1891" s="129"/>
      <c r="S1891" s="129"/>
    </row>
    <row r="1892" spans="18:19" x14ac:dyDescent="0.2">
      <c r="R1892" s="129"/>
      <c r="S1892" s="129"/>
    </row>
    <row r="1893" spans="18:19" x14ac:dyDescent="0.2">
      <c r="R1893" s="129"/>
      <c r="S1893" s="129"/>
    </row>
    <row r="1894" spans="18:19" x14ac:dyDescent="0.2">
      <c r="R1894" s="129"/>
      <c r="S1894" s="129"/>
    </row>
    <row r="1895" spans="18:19" x14ac:dyDescent="0.2">
      <c r="R1895" s="129"/>
      <c r="S1895" s="129"/>
    </row>
    <row r="1896" spans="18:19" x14ac:dyDescent="0.2">
      <c r="R1896" s="129"/>
      <c r="S1896" s="129"/>
    </row>
    <row r="1897" spans="18:19" x14ac:dyDescent="0.2">
      <c r="R1897" s="129"/>
      <c r="S1897" s="129"/>
    </row>
    <row r="1898" spans="18:19" x14ac:dyDescent="0.2">
      <c r="R1898" s="129"/>
      <c r="S1898" s="129"/>
    </row>
    <row r="1899" spans="18:19" x14ac:dyDescent="0.2">
      <c r="R1899" s="129"/>
      <c r="S1899" s="129"/>
    </row>
    <row r="1900" spans="18:19" x14ac:dyDescent="0.2">
      <c r="R1900" s="129"/>
      <c r="S1900" s="129"/>
    </row>
    <row r="1901" spans="18:19" x14ac:dyDescent="0.2">
      <c r="R1901" s="129"/>
      <c r="S1901" s="129"/>
    </row>
    <row r="1902" spans="18:19" x14ac:dyDescent="0.2">
      <c r="R1902" s="129"/>
      <c r="S1902" s="129"/>
    </row>
    <row r="1903" spans="18:19" x14ac:dyDescent="0.2">
      <c r="R1903" s="129"/>
      <c r="S1903" s="129"/>
    </row>
    <row r="1904" spans="18:19" x14ac:dyDescent="0.2">
      <c r="R1904" s="129"/>
      <c r="S1904" s="129"/>
    </row>
    <row r="1905" spans="18:19" x14ac:dyDescent="0.2">
      <c r="R1905" s="129"/>
      <c r="S1905" s="129"/>
    </row>
    <row r="1906" spans="18:19" x14ac:dyDescent="0.2">
      <c r="R1906" s="129"/>
      <c r="S1906" s="129"/>
    </row>
    <row r="1907" spans="18:19" x14ac:dyDescent="0.2">
      <c r="R1907" s="129"/>
      <c r="S1907" s="129"/>
    </row>
    <row r="1908" spans="18:19" x14ac:dyDescent="0.2">
      <c r="R1908" s="129"/>
      <c r="S1908" s="129"/>
    </row>
    <row r="1909" spans="18:19" x14ac:dyDescent="0.2">
      <c r="R1909" s="129"/>
      <c r="S1909" s="129"/>
    </row>
    <row r="1910" spans="18:19" x14ac:dyDescent="0.2">
      <c r="R1910" s="129"/>
      <c r="S1910" s="129"/>
    </row>
    <row r="1911" spans="18:19" x14ac:dyDescent="0.2">
      <c r="R1911" s="129"/>
      <c r="S1911" s="129"/>
    </row>
    <row r="1912" spans="18:19" x14ac:dyDescent="0.2">
      <c r="R1912" s="129"/>
      <c r="S1912" s="129"/>
    </row>
    <row r="1913" spans="18:19" x14ac:dyDescent="0.2">
      <c r="R1913" s="129"/>
      <c r="S1913" s="129"/>
    </row>
    <row r="1914" spans="18:19" x14ac:dyDescent="0.2">
      <c r="R1914" s="129"/>
      <c r="S1914" s="129"/>
    </row>
    <row r="1915" spans="18:19" x14ac:dyDescent="0.2">
      <c r="R1915" s="129"/>
      <c r="S1915" s="129"/>
    </row>
    <row r="1916" spans="18:19" x14ac:dyDescent="0.2">
      <c r="R1916" s="129"/>
      <c r="S1916" s="129"/>
    </row>
    <row r="1917" spans="18:19" x14ac:dyDescent="0.2">
      <c r="R1917" s="129"/>
      <c r="S1917" s="129"/>
    </row>
    <row r="1918" spans="18:19" x14ac:dyDescent="0.2">
      <c r="R1918" s="129"/>
      <c r="S1918" s="129"/>
    </row>
    <row r="1919" spans="18:19" x14ac:dyDescent="0.2">
      <c r="R1919" s="129"/>
      <c r="S1919" s="129"/>
    </row>
    <row r="1920" spans="18:19" x14ac:dyDescent="0.2">
      <c r="R1920" s="129"/>
      <c r="S1920" s="129"/>
    </row>
    <row r="1921" spans="18:19" x14ac:dyDescent="0.2">
      <c r="R1921" s="129"/>
      <c r="S1921" s="129"/>
    </row>
    <row r="1922" spans="18:19" x14ac:dyDescent="0.2">
      <c r="R1922" s="129"/>
      <c r="S1922" s="129"/>
    </row>
    <row r="1923" spans="18:19" x14ac:dyDescent="0.2">
      <c r="R1923" s="129"/>
      <c r="S1923" s="129"/>
    </row>
    <row r="1924" spans="18:19" x14ac:dyDescent="0.2">
      <c r="R1924" s="129"/>
      <c r="S1924" s="129"/>
    </row>
    <row r="1925" spans="18:19" x14ac:dyDescent="0.2">
      <c r="R1925" s="129"/>
      <c r="S1925" s="129"/>
    </row>
    <row r="1926" spans="18:19" x14ac:dyDescent="0.2">
      <c r="R1926" s="129"/>
      <c r="S1926" s="129"/>
    </row>
    <row r="1927" spans="18:19" x14ac:dyDescent="0.2">
      <c r="R1927" s="129"/>
      <c r="S1927" s="129"/>
    </row>
    <row r="1928" spans="18:19" x14ac:dyDescent="0.2">
      <c r="R1928" s="129"/>
      <c r="S1928" s="129"/>
    </row>
    <row r="1929" spans="18:19" x14ac:dyDescent="0.2">
      <c r="R1929" s="129"/>
      <c r="S1929" s="129"/>
    </row>
    <row r="1930" spans="18:19" x14ac:dyDescent="0.2">
      <c r="R1930" s="129"/>
      <c r="S1930" s="129"/>
    </row>
    <row r="1931" spans="18:19" x14ac:dyDescent="0.2">
      <c r="R1931" s="129"/>
      <c r="S1931" s="129"/>
    </row>
    <row r="1932" spans="18:19" x14ac:dyDescent="0.2">
      <c r="R1932" s="129"/>
      <c r="S1932" s="129"/>
    </row>
    <row r="1933" spans="18:19" x14ac:dyDescent="0.2">
      <c r="R1933" s="129"/>
      <c r="S1933" s="129"/>
    </row>
    <row r="1934" spans="18:19" x14ac:dyDescent="0.2">
      <c r="R1934" s="129"/>
      <c r="S1934" s="129"/>
    </row>
    <row r="1935" spans="18:19" x14ac:dyDescent="0.2">
      <c r="R1935" s="129"/>
      <c r="S1935" s="129"/>
    </row>
    <row r="1936" spans="18:19" x14ac:dyDescent="0.2">
      <c r="R1936" s="129"/>
      <c r="S1936" s="129"/>
    </row>
    <row r="1937" spans="18:19" x14ac:dyDescent="0.2">
      <c r="R1937" s="129"/>
      <c r="S1937" s="129"/>
    </row>
    <row r="1938" spans="18:19" x14ac:dyDescent="0.2">
      <c r="R1938" s="129"/>
      <c r="S1938" s="129"/>
    </row>
    <row r="1939" spans="18:19" x14ac:dyDescent="0.2">
      <c r="R1939" s="129"/>
      <c r="S1939" s="129"/>
    </row>
    <row r="1940" spans="18:19" x14ac:dyDescent="0.2">
      <c r="R1940" s="129"/>
      <c r="S1940" s="129"/>
    </row>
    <row r="1941" spans="18:19" x14ac:dyDescent="0.2">
      <c r="R1941" s="129"/>
      <c r="S1941" s="129"/>
    </row>
    <row r="1942" spans="18:19" x14ac:dyDescent="0.2">
      <c r="R1942" s="129"/>
      <c r="S1942" s="129"/>
    </row>
    <row r="1943" spans="18:19" x14ac:dyDescent="0.2">
      <c r="R1943" s="129"/>
      <c r="S1943" s="129"/>
    </row>
    <row r="1944" spans="18:19" x14ac:dyDescent="0.2">
      <c r="R1944" s="129"/>
      <c r="S1944" s="129"/>
    </row>
    <row r="1945" spans="18:19" x14ac:dyDescent="0.2">
      <c r="R1945" s="129"/>
      <c r="S1945" s="129"/>
    </row>
    <row r="1946" spans="18:19" x14ac:dyDescent="0.2">
      <c r="R1946" s="129"/>
      <c r="S1946" s="129"/>
    </row>
    <row r="1947" spans="18:19" x14ac:dyDescent="0.2">
      <c r="R1947" s="129"/>
      <c r="S1947" s="129"/>
    </row>
    <row r="1948" spans="18:19" x14ac:dyDescent="0.2">
      <c r="R1948" s="129"/>
      <c r="S1948" s="129"/>
    </row>
    <row r="1949" spans="18:19" x14ac:dyDescent="0.2">
      <c r="R1949" s="129"/>
      <c r="S1949" s="129"/>
    </row>
    <row r="1950" spans="18:19" x14ac:dyDescent="0.2">
      <c r="R1950" s="129"/>
      <c r="S1950" s="129"/>
    </row>
    <row r="1951" spans="18:19" x14ac:dyDescent="0.2">
      <c r="R1951" s="129"/>
      <c r="S1951" s="129"/>
    </row>
    <row r="1952" spans="18:19" x14ac:dyDescent="0.2">
      <c r="R1952" s="129"/>
      <c r="S1952" s="129"/>
    </row>
    <row r="1953" spans="18:19" x14ac:dyDescent="0.2">
      <c r="R1953" s="129"/>
      <c r="S1953" s="129"/>
    </row>
    <row r="1954" spans="18:19" x14ac:dyDescent="0.2">
      <c r="R1954" s="129"/>
      <c r="S1954" s="129"/>
    </row>
    <row r="1955" spans="18:19" x14ac:dyDescent="0.2">
      <c r="R1955" s="129"/>
      <c r="S1955" s="129"/>
    </row>
    <row r="1956" spans="18:19" x14ac:dyDescent="0.2">
      <c r="R1956" s="129"/>
      <c r="S1956" s="129"/>
    </row>
    <row r="1957" spans="18:19" x14ac:dyDescent="0.2">
      <c r="R1957" s="129"/>
      <c r="S1957" s="129"/>
    </row>
    <row r="1958" spans="18:19" x14ac:dyDescent="0.2">
      <c r="R1958" s="129"/>
      <c r="S1958" s="129"/>
    </row>
    <row r="1959" spans="18:19" x14ac:dyDescent="0.2">
      <c r="R1959" s="129"/>
      <c r="S1959" s="129"/>
    </row>
    <row r="1960" spans="18:19" x14ac:dyDescent="0.2">
      <c r="R1960" s="129"/>
      <c r="S1960" s="129"/>
    </row>
    <row r="1961" spans="18:19" x14ac:dyDescent="0.2">
      <c r="R1961" s="129"/>
      <c r="S1961" s="129"/>
    </row>
    <row r="1962" spans="18:19" x14ac:dyDescent="0.2">
      <c r="R1962" s="129"/>
      <c r="S1962" s="129"/>
    </row>
    <row r="1963" spans="18:19" x14ac:dyDescent="0.2">
      <c r="R1963" s="129"/>
      <c r="S1963" s="129"/>
    </row>
    <row r="1964" spans="18:19" x14ac:dyDescent="0.2">
      <c r="R1964" s="129"/>
      <c r="S1964" s="129"/>
    </row>
    <row r="1965" spans="18:19" x14ac:dyDescent="0.2">
      <c r="R1965" s="129"/>
      <c r="S1965" s="129"/>
    </row>
    <row r="1966" spans="18:19" x14ac:dyDescent="0.2">
      <c r="R1966" s="129"/>
      <c r="S1966" s="129"/>
    </row>
    <row r="1967" spans="18:19" x14ac:dyDescent="0.2">
      <c r="R1967" s="129"/>
      <c r="S1967" s="129"/>
    </row>
    <row r="1968" spans="18:19" x14ac:dyDescent="0.2">
      <c r="R1968" s="129"/>
      <c r="S1968" s="129"/>
    </row>
    <row r="1969" spans="18:19" x14ac:dyDescent="0.2">
      <c r="R1969" s="129"/>
      <c r="S1969" s="129"/>
    </row>
    <row r="1970" spans="18:19" x14ac:dyDescent="0.2">
      <c r="R1970" s="129"/>
      <c r="S1970" s="129"/>
    </row>
    <row r="1971" spans="18:19" x14ac:dyDescent="0.2">
      <c r="R1971" s="129"/>
      <c r="S1971" s="129"/>
    </row>
    <row r="1972" spans="18:19" x14ac:dyDescent="0.2">
      <c r="R1972" s="129"/>
      <c r="S1972" s="129"/>
    </row>
    <row r="1973" spans="18:19" x14ac:dyDescent="0.2">
      <c r="R1973" s="129"/>
      <c r="S1973" s="129"/>
    </row>
    <row r="1974" spans="18:19" x14ac:dyDescent="0.2">
      <c r="R1974" s="129"/>
      <c r="S1974" s="129"/>
    </row>
    <row r="1975" spans="18:19" x14ac:dyDescent="0.2">
      <c r="R1975" s="129"/>
      <c r="S1975" s="129"/>
    </row>
    <row r="1976" spans="18:19" x14ac:dyDescent="0.2">
      <c r="R1976" s="129"/>
      <c r="S1976" s="129"/>
    </row>
    <row r="1977" spans="18:19" x14ac:dyDescent="0.2">
      <c r="R1977" s="129"/>
      <c r="S1977" s="129"/>
    </row>
    <row r="1978" spans="18:19" x14ac:dyDescent="0.2">
      <c r="R1978" s="129"/>
      <c r="S1978" s="129"/>
    </row>
    <row r="1979" spans="18:19" x14ac:dyDescent="0.2">
      <c r="R1979" s="129"/>
      <c r="S1979" s="129"/>
    </row>
    <row r="1980" spans="18:19" x14ac:dyDescent="0.2">
      <c r="R1980" s="129"/>
      <c r="S1980" s="129"/>
    </row>
    <row r="1981" spans="18:19" x14ac:dyDescent="0.2">
      <c r="R1981" s="129"/>
      <c r="S1981" s="129"/>
    </row>
    <row r="1982" spans="18:19" x14ac:dyDescent="0.2">
      <c r="R1982" s="129"/>
      <c r="S1982" s="129"/>
    </row>
    <row r="1983" spans="18:19" x14ac:dyDescent="0.2">
      <c r="R1983" s="129"/>
      <c r="S1983" s="129"/>
    </row>
    <row r="1984" spans="18:19" x14ac:dyDescent="0.2">
      <c r="R1984" s="129"/>
      <c r="S1984" s="129"/>
    </row>
    <row r="1985" spans="18:19" x14ac:dyDescent="0.2">
      <c r="R1985" s="129"/>
      <c r="S1985" s="129"/>
    </row>
    <row r="1986" spans="18:19" x14ac:dyDescent="0.2">
      <c r="R1986" s="129"/>
      <c r="S1986" s="129"/>
    </row>
    <row r="1987" spans="18:19" x14ac:dyDescent="0.2">
      <c r="R1987" s="129"/>
      <c r="S1987" s="129"/>
    </row>
    <row r="1988" spans="18:19" x14ac:dyDescent="0.2">
      <c r="R1988" s="129"/>
      <c r="S1988" s="129"/>
    </row>
    <row r="1989" spans="18:19" x14ac:dyDescent="0.2">
      <c r="R1989" s="129"/>
      <c r="S1989" s="129"/>
    </row>
    <row r="1990" spans="18:19" x14ac:dyDescent="0.2">
      <c r="R1990" s="129"/>
      <c r="S1990" s="129"/>
    </row>
    <row r="1991" spans="18:19" x14ac:dyDescent="0.2">
      <c r="R1991" s="129"/>
      <c r="S1991" s="129"/>
    </row>
    <row r="1992" spans="18:19" x14ac:dyDescent="0.2">
      <c r="R1992" s="129"/>
      <c r="S1992" s="129"/>
    </row>
    <row r="1993" spans="18:19" x14ac:dyDescent="0.2">
      <c r="R1993" s="129"/>
      <c r="S1993" s="129"/>
    </row>
    <row r="1994" spans="18:19" x14ac:dyDescent="0.2">
      <c r="R1994" s="129"/>
      <c r="S1994" s="129"/>
    </row>
    <row r="1995" spans="18:19" x14ac:dyDescent="0.2">
      <c r="R1995" s="129"/>
      <c r="S1995" s="129"/>
    </row>
  </sheetData>
  <sheetProtection algorithmName="SHA-512" hashValue="dHvor2LUOIcqJFZHK3VMe5YBAaicooZ0JZTV/xw8cgDhw+6ISUesHtd7PBRQaxoECr01J1VVIIFINZuSwh+nPQ==" saltValue="h+akNgYvEU9e/NSZoNKi6Q==" spinCount="100000" sheet="1" objects="1" scenarios="1"/>
  <autoFilter ref="A7:U1123" xr:uid="{F917F5D6-E569-45E8-8998-683C5DF4FDFB}">
    <filterColumn colId="1">
      <colorFilter dxfId="0"/>
    </filterColumn>
  </autoFilter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pageSetUpPr fitToPage="1"/>
  </sheetPr>
  <dimension ref="B1:N21"/>
  <sheetViews>
    <sheetView zoomScale="80" zoomScaleNormal="80" workbookViewId="0">
      <selection activeCell="M1" sqref="M1"/>
    </sheetView>
  </sheetViews>
  <sheetFormatPr baseColWidth="10" defaultColWidth="11.42578125" defaultRowHeight="15" x14ac:dyDescent="0.25"/>
  <cols>
    <col min="1" max="1" width="6" style="121" customWidth="1"/>
    <col min="2" max="2" width="48.140625" style="121" customWidth="1"/>
    <col min="3" max="4" width="13.28515625" style="121" customWidth="1"/>
    <col min="5" max="8" width="11.42578125" style="121"/>
    <col min="9" max="9" width="30.140625" style="121" bestFit="1" customWidth="1"/>
    <col min="10" max="16384" width="11.42578125" style="121"/>
  </cols>
  <sheetData>
    <row r="1" spans="2:14" x14ac:dyDescent="0.25">
      <c r="D1" s="153"/>
    </row>
    <row r="2" spans="2:14" ht="15" customHeight="1" x14ac:dyDescent="0.25">
      <c r="B2" s="122" t="s">
        <v>386</v>
      </c>
      <c r="D2" s="153"/>
    </row>
    <row r="4" spans="2:14" x14ac:dyDescent="0.25">
      <c r="B4" s="193" t="s">
        <v>263</v>
      </c>
      <c r="C4" s="194"/>
      <c r="D4" s="194"/>
      <c r="E4" s="123"/>
    </row>
    <row r="5" spans="2:14" x14ac:dyDescent="0.25">
      <c r="B5" s="124"/>
      <c r="C5" s="125" t="s">
        <v>153</v>
      </c>
      <c r="D5" s="125" t="s">
        <v>154</v>
      </c>
      <c r="E5" s="123"/>
    </row>
    <row r="6" spans="2:14" x14ac:dyDescent="0.25">
      <c r="B6" s="124" t="s">
        <v>272</v>
      </c>
      <c r="C6" s="169">
        <v>285891.83931267908</v>
      </c>
      <c r="D6" s="169">
        <v>147836.53240984102</v>
      </c>
      <c r="E6" s="123"/>
    </row>
    <row r="7" spans="2:14" x14ac:dyDescent="0.25">
      <c r="B7" s="124" t="s">
        <v>340</v>
      </c>
      <c r="C7" s="128">
        <v>308200</v>
      </c>
      <c r="D7" s="128">
        <v>159500</v>
      </c>
      <c r="E7" s="123"/>
    </row>
    <row r="8" spans="2:14" x14ac:dyDescent="0.25">
      <c r="B8" s="123"/>
      <c r="C8" s="126"/>
      <c r="D8" s="126"/>
      <c r="E8" s="123"/>
    </row>
    <row r="9" spans="2:14" x14ac:dyDescent="0.25">
      <c r="B9" s="195" t="s">
        <v>396</v>
      </c>
      <c r="C9" s="196"/>
      <c r="D9" s="197"/>
      <c r="E9" s="123"/>
      <c r="F9" s="176"/>
      <c r="G9" s="176"/>
      <c r="N9" s="127"/>
    </row>
    <row r="10" spans="2:14" x14ac:dyDescent="0.25">
      <c r="B10" s="191" t="s">
        <v>117</v>
      </c>
      <c r="C10" s="192"/>
      <c r="D10" s="125" t="s">
        <v>155</v>
      </c>
      <c r="E10" s="123"/>
      <c r="F10" s="172">
        <v>2024</v>
      </c>
      <c r="G10" s="172">
        <v>2025</v>
      </c>
      <c r="N10" s="127"/>
    </row>
    <row r="11" spans="2:14" x14ac:dyDescent="0.25">
      <c r="B11" s="191" t="s">
        <v>336</v>
      </c>
      <c r="C11" s="192"/>
      <c r="D11" s="128">
        <v>13300</v>
      </c>
      <c r="E11" s="123"/>
      <c r="F11" s="173">
        <v>12900</v>
      </c>
      <c r="G11" s="173">
        <v>13300</v>
      </c>
      <c r="N11" s="127"/>
    </row>
    <row r="12" spans="2:14" x14ac:dyDescent="0.25">
      <c r="B12" s="191" t="s">
        <v>337</v>
      </c>
      <c r="C12" s="192"/>
      <c r="D12" s="128">
        <v>25500</v>
      </c>
      <c r="E12" s="123"/>
      <c r="F12" s="174">
        <v>25900</v>
      </c>
      <c r="G12" s="173">
        <v>25500</v>
      </c>
      <c r="N12" s="127"/>
    </row>
    <row r="13" spans="2:14" x14ac:dyDescent="0.25">
      <c r="B13" s="191" t="s">
        <v>338</v>
      </c>
      <c r="C13" s="192"/>
      <c r="D13" s="128">
        <v>32500</v>
      </c>
      <c r="F13" s="174">
        <v>29300</v>
      </c>
      <c r="G13" s="173">
        <v>32500</v>
      </c>
      <c r="N13" s="127"/>
    </row>
    <row r="14" spans="2:14" x14ac:dyDescent="0.25">
      <c r="B14" s="191" t="s">
        <v>339</v>
      </c>
      <c r="C14" s="192"/>
      <c r="D14" s="128">
        <v>39000</v>
      </c>
      <c r="F14" s="174">
        <v>36500</v>
      </c>
      <c r="G14" s="173">
        <v>39000</v>
      </c>
      <c r="N14" s="127"/>
    </row>
    <row r="15" spans="2:14" x14ac:dyDescent="0.25">
      <c r="B15" s="177" t="s">
        <v>262</v>
      </c>
      <c r="F15" s="176"/>
      <c r="G15" s="176"/>
      <c r="N15" s="127"/>
    </row>
    <row r="16" spans="2:14" x14ac:dyDescent="0.25">
      <c r="F16" s="176"/>
      <c r="G16" s="176"/>
      <c r="N16" s="127"/>
    </row>
    <row r="17" spans="2:14" x14ac:dyDescent="0.25">
      <c r="B17" s="195" t="s">
        <v>244</v>
      </c>
      <c r="C17" s="196"/>
      <c r="D17" s="197"/>
      <c r="F17" s="176"/>
      <c r="G17" s="176"/>
      <c r="I17" s="140"/>
      <c r="N17" s="127"/>
    </row>
    <row r="18" spans="2:14" x14ac:dyDescent="0.25">
      <c r="B18" s="191"/>
      <c r="C18" s="192"/>
      <c r="D18" s="125" t="s">
        <v>155</v>
      </c>
      <c r="F18" s="175">
        <v>2024</v>
      </c>
      <c r="G18" s="175">
        <v>2025</v>
      </c>
      <c r="N18" s="127"/>
    </row>
    <row r="19" spans="2:14" x14ac:dyDescent="0.25">
      <c r="B19" s="191" t="s">
        <v>245</v>
      </c>
      <c r="C19" s="192"/>
      <c r="D19" s="128">
        <v>27900</v>
      </c>
      <c r="F19" s="173">
        <v>26800</v>
      </c>
      <c r="G19" s="173">
        <v>27900</v>
      </c>
      <c r="L19" s="139"/>
      <c r="M19" s="2"/>
      <c r="N19" s="127"/>
    </row>
    <row r="20" spans="2:14" x14ac:dyDescent="0.25">
      <c r="B20" s="191" t="s">
        <v>246</v>
      </c>
      <c r="C20" s="192"/>
      <c r="D20" s="128">
        <v>41300</v>
      </c>
      <c r="F20" s="173">
        <v>39200</v>
      </c>
      <c r="G20" s="173">
        <v>41300</v>
      </c>
      <c r="L20" s="139"/>
      <c r="M20" s="139"/>
      <c r="N20" s="127"/>
    </row>
    <row r="21" spans="2:14" x14ac:dyDescent="0.25">
      <c r="J21" s="127"/>
    </row>
  </sheetData>
  <sheetProtection algorithmName="SHA-512" hashValue="qW8c1JeWEP3i7qyY9u3SF3mkQ1pyGp3HgV+/eft83wgs0IJvsa5do//XXDOJf39dyVrcbRlBKm9yKs2aCqIJxg==" saltValue="8Yh8PzC7aZ0kc//WUGtM+g==" spinCount="100000" sheet="1" objects="1" scenarios="1"/>
  <mergeCells count="11">
    <mergeCell ref="B4:D4"/>
    <mergeCell ref="B10:C10"/>
    <mergeCell ref="B17:D17"/>
    <mergeCell ref="B9:D9"/>
    <mergeCell ref="B18:C18"/>
    <mergeCell ref="B20:C20"/>
    <mergeCell ref="B19:C19"/>
    <mergeCell ref="B11:C11"/>
    <mergeCell ref="B12:C12"/>
    <mergeCell ref="B13:C13"/>
    <mergeCell ref="B14:C14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043D0477D9141B62D421E6621CA71" ma:contentTypeVersion="12" ma:contentTypeDescription="Create a new document." ma:contentTypeScope="" ma:versionID="09164554cb01dd5aed41eb68d6b337dd">
  <xsd:schema xmlns:xsd="http://www.w3.org/2001/XMLSchema" xmlns:xs="http://www.w3.org/2001/XMLSchema" xmlns:p="http://schemas.microsoft.com/office/2006/metadata/properties" xmlns:ns3="ca2af555-cd03-43c1-b870-a6c8aa2341d9" xmlns:ns4="ac4d3598-6837-4b2f-a5b0-639cc095b310" targetNamespace="http://schemas.microsoft.com/office/2006/metadata/properties" ma:root="true" ma:fieldsID="54fd4668970a36b5f44ed697ece3054a" ns3:_="" ns4:_="">
    <xsd:import namespace="ca2af555-cd03-43c1-b870-a6c8aa2341d9"/>
    <xsd:import namespace="ac4d3598-6837-4b2f-a5b0-639cc095b3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af555-cd03-43c1-b870-a6c8aa2341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d3598-6837-4b2f-a5b0-639cc095b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4d3598-6837-4b2f-a5b0-639cc095b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A2C1F-2198-4F2B-91E6-A982E1261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af555-cd03-43c1-b870-a6c8aa2341d9"/>
    <ds:schemaRef ds:uri="ac4d3598-6837-4b2f-a5b0-639cc095b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91640E-AD50-4E4B-98BA-F4232F115A8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a2af555-cd03-43c1-b870-a6c8aa2341d9"/>
    <ds:schemaRef ds:uri="ac4d3598-6837-4b2f-a5b0-639cc095b31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F3E1C4-1805-4A39-BBEF-3F9E86CAD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3</vt:i4>
      </vt:variant>
    </vt:vector>
  </HeadingPairs>
  <TitlesOfParts>
    <vt:vector size="9" baseType="lpstr">
      <vt:lpstr>Udir</vt:lpstr>
      <vt:lpstr>Forside</vt:lpstr>
      <vt:lpstr>Input, kommunale barnehager</vt:lpstr>
      <vt:lpstr>Beregning, komm.tilskudd</vt:lpstr>
      <vt:lpstr>Pensjon</vt:lpstr>
      <vt:lpstr>Satser</vt:lpstr>
      <vt:lpstr>__Regnskap_hittil_i_år_amount</vt:lpstr>
      <vt:lpstr>'Beregning, komm.tilskudd'!Utskriftsområde</vt:lpstr>
      <vt:lpstr>'Input, kommunale barnehager'!Utskriftsområde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Engelskjønn</dc:creator>
  <cp:lastModifiedBy>Inger Marie Engelskjønn</cp:lastModifiedBy>
  <cp:lastPrinted>2024-04-30T10:51:58Z</cp:lastPrinted>
  <dcterms:created xsi:type="dcterms:W3CDTF">2011-01-05T12:12:46Z</dcterms:created>
  <dcterms:modified xsi:type="dcterms:W3CDTF">2024-10-30T13:39:28Z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0x01010066B043D0477D9141B62D421E6621CA71</vt:lpwstr>
  </property>
</Properties>
</file>